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2" activeTab="3"/>
  </bookViews>
  <sheets>
    <sheet name="资金安排（按文号）" sheetId="11" state="hidden" r:id="rId1"/>
    <sheet name="统计表（21-22）" sheetId="22" state="hidden" r:id="rId2"/>
    <sheet name="明细表（总）" sheetId="1" r:id="rId3"/>
    <sheet name="明细表（中央资金）" sheetId="33" r:id="rId4"/>
  </sheets>
  <definedNames>
    <definedName name="_xlnm._FilterDatabase" localSheetId="0" hidden="1">'资金安排（按文号）'!$A$2:$AA$23</definedName>
    <definedName name="_xlnm._FilterDatabase" localSheetId="2" hidden="1">'明细表（总）'!$A$2:$L$221</definedName>
    <definedName name="_xlnm._FilterDatabase" localSheetId="3" hidden="1">'明细表（中央资金）'!$A$2:$K$12</definedName>
    <definedName name="_xlnm.Print_Titles" localSheetId="2">'明细表（总）'!$2:$2</definedName>
    <definedName name="_xlnm.Print_Area" localSheetId="2">'明细表（总）'!$A$1:$L$221</definedName>
    <definedName name="_xlnm.Print_Area" localSheetId="0">'资金安排（按文号）'!$A$1:$AB$23</definedName>
    <definedName name="_xlnm.Print_Titles" localSheetId="3">'明细表（中央资金）'!$2:$2</definedName>
    <definedName name="_xlnm.Print_Area" localSheetId="3">'明细表（中央资金）'!$A$1:$K$12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<sst xmlns="http://schemas.openxmlformats.org/spreadsheetml/2006/main" count="768" uniqueCount="330">
  <si>
    <t>南雄市2021-2022年驻镇帮镇扶村资金文号安排表</t>
  </si>
  <si>
    <t>粤财农(2021)123号</t>
  </si>
  <si>
    <t>韶财农[2021]123号</t>
  </si>
  <si>
    <t>韶财农〔2021）144号</t>
  </si>
  <si>
    <t>韶财农[2021]120号</t>
  </si>
  <si>
    <t>本级配套</t>
  </si>
  <si>
    <t>粤财农(2021)152号</t>
  </si>
  <si>
    <t>粤财农（2022）80号
韶财农〔2022〕68 号</t>
  </si>
  <si>
    <t>韶财农（2022）18号</t>
  </si>
  <si>
    <t>韶财农（2022）37号</t>
  </si>
  <si>
    <t>韶财农(2022)66号</t>
  </si>
  <si>
    <t>韶财农[2022]133号</t>
  </si>
  <si>
    <t>雄财预【2022]3号</t>
  </si>
  <si>
    <t>粤财农〔2022〕189号</t>
  </si>
  <si>
    <t>韶财农〔2023〕91号</t>
  </si>
  <si>
    <t>韶财农〔2023〕20号</t>
  </si>
  <si>
    <t>韶财农〔2023〕14号</t>
  </si>
  <si>
    <t>韶财农〔2023〕22号</t>
  </si>
  <si>
    <t>韶财农〔2023〕33号</t>
  </si>
  <si>
    <t>雄财预〔2023〕1号</t>
  </si>
  <si>
    <r>
      <rPr>
        <sz val="10"/>
        <rFont val="Arial"/>
        <charset val="134"/>
      </rPr>
      <t>2021</t>
    </r>
    <r>
      <rPr>
        <sz val="10"/>
        <rFont val="宋体"/>
        <charset val="134"/>
      </rPr>
      <t>合计</t>
    </r>
  </si>
  <si>
    <r>
      <rPr>
        <sz val="10"/>
        <rFont val="Arial"/>
        <charset val="134"/>
      </rPr>
      <t>2022</t>
    </r>
    <r>
      <rPr>
        <sz val="10"/>
        <rFont val="宋体"/>
        <charset val="134"/>
      </rPr>
      <t>合计</t>
    </r>
  </si>
  <si>
    <r>
      <rPr>
        <sz val="10"/>
        <rFont val="Arial"/>
        <charset val="134"/>
      </rPr>
      <t>2023</t>
    </r>
    <r>
      <rPr>
        <sz val="10"/>
        <rFont val="宋体"/>
        <charset val="134"/>
      </rPr>
      <t>年合计</t>
    </r>
  </si>
  <si>
    <t>序号</t>
  </si>
  <si>
    <t>部门</t>
  </si>
  <si>
    <t>总安排资金合计</t>
  </si>
  <si>
    <t>其中：已安排资金（万元）</t>
  </si>
  <si>
    <t>剩余需分配资金（万元）</t>
  </si>
  <si>
    <t>2021省级</t>
  </si>
  <si>
    <t>2021东莞</t>
  </si>
  <si>
    <t>2021广州</t>
  </si>
  <si>
    <t>2021深圳</t>
  </si>
  <si>
    <t>2021韶关</t>
  </si>
  <si>
    <t>2021南雄</t>
  </si>
  <si>
    <t>2022省级</t>
  </si>
  <si>
    <t>2022省级（第二批）</t>
  </si>
  <si>
    <t>2022东莞</t>
  </si>
  <si>
    <t>2022年广州</t>
  </si>
  <si>
    <t>2022年深圳</t>
  </si>
  <si>
    <t>2022韶关</t>
  </si>
  <si>
    <t>2022南雄</t>
  </si>
  <si>
    <t>2023省级</t>
  </si>
  <si>
    <t>2023省第二批</t>
  </si>
  <si>
    <t>2023韶关</t>
  </si>
  <si>
    <t>2023东莞</t>
  </si>
  <si>
    <t>2023广州</t>
  </si>
  <si>
    <t>2023深圳</t>
  </si>
  <si>
    <t>2023南雄</t>
  </si>
  <si>
    <t>汇总</t>
  </si>
  <si>
    <t>农业农村局</t>
  </si>
  <si>
    <t>住建局</t>
  </si>
  <si>
    <t>交通局</t>
  </si>
  <si>
    <t>林业局</t>
  </si>
  <si>
    <t>水务局</t>
  </si>
  <si>
    <t>工信局</t>
  </si>
  <si>
    <t>商务局</t>
  </si>
  <si>
    <t>生态环境局</t>
  </si>
  <si>
    <t>自然资源局</t>
  </si>
  <si>
    <t>市委宣传部</t>
  </si>
  <si>
    <t>市委政法委</t>
  </si>
  <si>
    <t>市委组织部</t>
  </si>
  <si>
    <t>文广旅体局</t>
  </si>
  <si>
    <t>卫健局</t>
  </si>
  <si>
    <t>金融办</t>
  </si>
  <si>
    <t>气象局</t>
  </si>
  <si>
    <t>老促会</t>
  </si>
  <si>
    <t>雄州街道</t>
  </si>
  <si>
    <t>17个镇</t>
  </si>
  <si>
    <t>市消防救援大队</t>
  </si>
  <si>
    <t>附件1：</t>
  </si>
  <si>
    <t>全市2021-2022年驻镇帮镇扶村资金支出进度情况统计表</t>
  </si>
  <si>
    <t>资金使用单位</t>
  </si>
  <si>
    <t>项目已安排总金额（万元）</t>
  </si>
  <si>
    <t>已支出总金额（万元）</t>
  </si>
  <si>
    <t>在途金额（万元）</t>
  </si>
  <si>
    <t>结余总金额（万元）</t>
  </si>
  <si>
    <t>支出率（万元）</t>
  </si>
  <si>
    <t>排名</t>
  </si>
  <si>
    <t>合计</t>
  </si>
  <si>
    <t>市林业局</t>
  </si>
  <si>
    <t>市金融办</t>
  </si>
  <si>
    <t>市生态环境局南雄分局</t>
  </si>
  <si>
    <t>市自然资源局</t>
  </si>
  <si>
    <t>市工信局</t>
  </si>
  <si>
    <t>市文广旅体局</t>
  </si>
  <si>
    <t>市交通局</t>
  </si>
  <si>
    <t>市住建局</t>
  </si>
  <si>
    <t>市水务局</t>
  </si>
  <si>
    <t>市农业农村局</t>
  </si>
  <si>
    <t>2021-2023年驻镇帮镇扶村资金支出进度情况明细表（总表）</t>
  </si>
  <si>
    <t>资金性质</t>
  </si>
  <si>
    <t>年度</t>
  </si>
  <si>
    <t>文件名称</t>
  </si>
  <si>
    <t>资金文号</t>
  </si>
  <si>
    <t>资金安排合计（万元）</t>
  </si>
  <si>
    <t>项目类型</t>
  </si>
  <si>
    <t>资金使用项目</t>
  </si>
  <si>
    <t>项目安排总金额（万元）</t>
  </si>
  <si>
    <t>已支出（万元）</t>
  </si>
  <si>
    <t>结余金额（万元）</t>
  </si>
  <si>
    <t>省级资金</t>
  </si>
  <si>
    <t>2021年</t>
  </si>
  <si>
    <t>广东省财政厅关于下达2021年省级乡村振兴驻镇帮镇扶村资金的通知</t>
  </si>
  <si>
    <t>粤财农〔2021〕123号</t>
  </si>
  <si>
    <t>巩固脱贫成果</t>
  </si>
  <si>
    <t>南雄市乡村振兴脱贫人口受灾补助就业奖励贷款贴息及农村基础设施建设奖补项目（扶贫股）</t>
  </si>
  <si>
    <t>公共基础设施</t>
  </si>
  <si>
    <t>2022年韶关市南雄市全域人居环境整治美丽乡村建设项目（农促股）</t>
  </si>
  <si>
    <t>产业发展</t>
  </si>
  <si>
    <t>南雄市红火蚁统一防控及冬种油菜项目（植保站）</t>
  </si>
  <si>
    <t>韶关市南雄市2021特色农业产业项目（种养股）</t>
  </si>
  <si>
    <t>韶关市南雄市2022年小额农田基础设施建设项目（农建股）</t>
  </si>
  <si>
    <t>韶关市南雄市2021年小额农田基础设施建设项目（农建股）</t>
  </si>
  <si>
    <t>南雄市农村公路提档升级项目——南雄市瑶台塘至大旺等94条新建路面硬化</t>
  </si>
  <si>
    <t>南雄市“139+”美丽圩镇建设项目——南雄市江头镇139乡镇整治提升工程</t>
  </si>
  <si>
    <t>南雄市第二批十镇环卫服务市场化委托运营项目2021年7月—11月生活垃圾收运处理服务费</t>
  </si>
  <si>
    <t>市级资金</t>
  </si>
  <si>
    <t>关于提前下达2021年市级乡村振兴驻镇帮镇扶村资金的通知</t>
  </si>
  <si>
    <t>韶财农〔2021〕120号</t>
  </si>
  <si>
    <t>南雄市产业路提升工程——南雄市Y406线古市至姚屋现代农业产业路改建工程</t>
  </si>
  <si>
    <t>南雄市产业路提升工程——南雄市油山镇上孔村至杨梅坑现代农业观光道改造工程</t>
  </si>
  <si>
    <t>南雄市产业路提升工程——南雄市主田大甫前至西坪公路改造工程</t>
  </si>
  <si>
    <t>南雄市产业路提升工程——南雄市Y028线二塘至灵潭公路改建工程</t>
  </si>
  <si>
    <t>南雄市产业路提升工程——南雄市火车站货场道路改建工程</t>
  </si>
  <si>
    <t>南雄市2022年农村公路日常养护和养护工程项目</t>
  </si>
  <si>
    <t>主田镇黄峰岭大径材种植培育示范基地项目建设</t>
  </si>
  <si>
    <t>帽子峰省级森林公园自然教育基地项目建设</t>
  </si>
  <si>
    <t>雄州街道农田水利设施建设项目</t>
  </si>
  <si>
    <t>雄州街道雄江风貌带农房管控微提升项目</t>
  </si>
  <si>
    <t>关于下达2021年第一批珠三角对口帮扶韶关市驻镇帮镇扶村资金的通知</t>
  </si>
  <si>
    <t>韶财农〔2021〕123号</t>
  </si>
  <si>
    <t>南雄市乡镇简易垃圾填埋场整改项目（第二批9个场）</t>
  </si>
  <si>
    <t>南雄市“139+”美丽圩镇建设项目</t>
  </si>
  <si>
    <t>农房安全隐患排查、安全性等级鉴定</t>
  </si>
  <si>
    <t>南雄市17个镇级污水处理厂及配套管网2022年服务费</t>
  </si>
  <si>
    <t>珠玑镇</t>
  </si>
  <si>
    <t>珠玑镇长迳村至梅关村民房风貌提升工程</t>
  </si>
  <si>
    <t>规划引领</t>
  </si>
  <si>
    <t>2022年韶关市南雄市镇域规划编制费用（扶贫股）</t>
  </si>
  <si>
    <t>2022年韶关市南雄市全域人居环境整治美丽乡村建设项目 （农促股）</t>
  </si>
  <si>
    <t>关于下达2021年第二批珠三角对口帮扶韶关市驻镇帮镇扶村资金的通知</t>
  </si>
  <si>
    <t>韶财农〔2021〕144号</t>
  </si>
  <si>
    <t>南雄市农产品质量安全监管员培训</t>
  </si>
  <si>
    <t>南雄市2018年度现代粮食产业示范区建设项目（种养股）</t>
  </si>
  <si>
    <t>2022年农村公益事业建设奖补项目（产经股）</t>
  </si>
  <si>
    <t>2022年韶关市南雄市巩固拓展脱贫成果项目（扶贫股）</t>
  </si>
  <si>
    <t>南雄市乡村振兴金融信贷风险补偿金</t>
  </si>
  <si>
    <t>公共服务</t>
  </si>
  <si>
    <t>南雄市智能云广播（应急广播）系统建设项目</t>
  </si>
  <si>
    <t>韶关市南雄市2022年美丽田园小额农田水利基础设施建设项目（农建股）</t>
  </si>
  <si>
    <t>省级涉农资金</t>
  </si>
  <si>
    <t>2022年</t>
  </si>
  <si>
    <t>关于提前下达2022年省级涉农统筹整合转移支付资金的通知</t>
  </si>
  <si>
    <t>粤财农〔2021〕152号</t>
  </si>
  <si>
    <t>2022年韶关市南雄市全域人居环境整治美丽乡村建设项目（农促股）--2022年韶关市南雄市生态宜居美丽乡村建设项目</t>
  </si>
  <si>
    <t>2022年韶关市南雄市全域人居环境整治美丽乡村建设项目（农促股）——农房管控风貌提升以奖代补及贷款贴息项目</t>
  </si>
  <si>
    <t>韶关市南雄市2022年农业新型经营主体发展奖补项目（种养股）</t>
  </si>
  <si>
    <t>2022年韶关市南雄市水稻机械化种植能力提升项目（农机总站）</t>
  </si>
  <si>
    <t>2022年韶关市南雄市农村村内道路建设项目（农促股）</t>
  </si>
  <si>
    <t>韶关市南雄市镇域公共服务基础设施建设项目</t>
  </si>
  <si>
    <t>2022年韶关市南雄市农村社会治理网络化建设项目</t>
  </si>
  <si>
    <t>四好农村路建设-南雄市Y029线酒坛岭至老修仁桥现代农业产业路路面改造工程（路网提升）</t>
  </si>
  <si>
    <t>四好农村路建设-南雄市乌迳镇田心桥（危旧桥改造工程）</t>
  </si>
  <si>
    <t>四好农村路建设-南雄市Y509线里源桥改建工程（危旧桥改造工程）</t>
  </si>
  <si>
    <t>四好农村路养护-南雄市2022年九盏江至五湖山水毁抢修复工程等21个工程养护项目（养护工程）</t>
  </si>
  <si>
    <t>四好农村路养护-南雄市Y704线三水至上洞坝村等7个养护工程项目（养护工程）</t>
  </si>
  <si>
    <t>四好农村路建设-南雄市雄州街道迳口阳光玫瑰葡萄园至荆岗雄江公路改建工程（路网提升）</t>
  </si>
  <si>
    <t>四好农村路建设-南雄市坪田镇东坑至江西李庄公路改建工程（三级路改造工程）</t>
  </si>
  <si>
    <t>四好农村路养护-南雄市迳口村2座桥洞重修工程（养护工程）</t>
  </si>
  <si>
    <t>乡村生活垃圾处理-韶关市南雄市“古巷新村湾区家园”项目—南雄市乡镇环境卫生服务项目（2021年）</t>
  </si>
  <si>
    <t>乡村生活垃圾处理-南雄市乡镇环境卫生服务项目（七镇一街）（2021年）</t>
  </si>
  <si>
    <t>乡村生活垃圾处理-南雄市（第二批）十镇环卫服务市场化委托运营项目（2021年）</t>
  </si>
  <si>
    <t>乡村生活垃圾处理-南雄市乡镇环境卫生服务项目（七镇一街）（2022年）</t>
  </si>
  <si>
    <t>韶关市南雄市2022年南粤古驿道生态修复综合治理</t>
  </si>
  <si>
    <t>韶关市南雄市2022年乡村绿化美化建设</t>
  </si>
  <si>
    <t>南雄市2021年度基本农田保护经济省级补助资金</t>
  </si>
  <si>
    <t>生态环境局南雄分局</t>
  </si>
  <si>
    <t>南雄市农村污水处理设施运维资金</t>
  </si>
  <si>
    <t>关于下达2022年珠三角对口帮扶韶关市驻镇帮镇扶村资金（第一批）的通知</t>
  </si>
  <si>
    <t>韶财农〔2022〕18号</t>
  </si>
  <si>
    <t>17镇</t>
  </si>
  <si>
    <t>17个镇驻镇帮镇扶村分配资金（扶贫股）</t>
  </si>
  <si>
    <t>2022年农产品质量安全体系建设项目（农检站）</t>
  </si>
  <si>
    <t>关于下达2022年珠三角对口帮扶韶关市驻镇帮镇扶村资金（第二批）的通知</t>
  </si>
  <si>
    <t>韶财农〔2022〕37号</t>
  </si>
  <si>
    <t>本级资金</t>
  </si>
  <si>
    <t>南雄市本级配套2021年驻镇帮镇扶村资金</t>
  </si>
  <si>
    <t>南雄市5.17水灾水利设施水毁修复工程</t>
  </si>
  <si>
    <t>南雄市水利灌溉工程——珠玑镇灵潭村下坋村和罗田村饮用水水源保障建设工程</t>
  </si>
  <si>
    <t>南雄市水利灌溉工程——南雄市百顺镇湖地村小型水利灌排工程</t>
  </si>
  <si>
    <t>南雄市水利灌溉工程——横江灌区节水改造工程结算款</t>
  </si>
  <si>
    <t>南雄市邓坊镇墟镇排洪沟治理工程</t>
  </si>
  <si>
    <t>农村三线整治工程</t>
  </si>
  <si>
    <t>7个镇科技特派员选派</t>
  </si>
  <si>
    <t>2021年驻镇帮镇扶村资金下拨</t>
  </si>
  <si>
    <t>南雄市2022年乡村振兴驻镇帮镇扶村资金</t>
  </si>
  <si>
    <t>南雄市本级配套2022年驻镇帮镇扶村资金</t>
  </si>
  <si>
    <t>2022年韶关市南雄市驻镇帮扶工作队工作经费（扶贫股）</t>
  </si>
  <si>
    <t>2021年南雄市受污染耕地安全利用项目（科教股）</t>
  </si>
  <si>
    <t>南雄市特色蔬菜品牌提升与示范项目</t>
  </si>
  <si>
    <t>南雄市农用地分类管理类服务项目（科教股）</t>
  </si>
  <si>
    <t>南雄市2022年撂荒耕地复耕复种奖补项目（种养股）</t>
  </si>
  <si>
    <t>2022年驻镇帮镇扶村资金下拨</t>
  </si>
  <si>
    <t>2022年珠三角对口帮扶（第三批）</t>
  </si>
  <si>
    <t>韶财农〔2022〕66号</t>
  </si>
  <si>
    <t>17个镇驻镇帮镇扶村分配资金</t>
  </si>
  <si>
    <t>2022年南雄市柑橘黄龙病防控补助项目（农药）</t>
  </si>
  <si>
    <t>2022年韶关市南雄市全域人居环境整治美丽乡村建设项目-南雄市主田镇塘山、大坝、城门村水厂自来水提升改造工程（工程款）</t>
  </si>
  <si>
    <t>农村污水水质监测项目</t>
  </si>
  <si>
    <t>2022年第二批省级乡村振兴驻镇帮镇扶村资金</t>
  </si>
  <si>
    <t>粤财农〔2022〕80号
韶财农〔2022〕68号</t>
  </si>
  <si>
    <t>新时代文明实践所（站）建设</t>
  </si>
  <si>
    <t>综合性文化服务中心达标建设</t>
  </si>
  <si>
    <t>★驻镇——南雄市电灌站建设工程</t>
  </si>
  <si>
    <t>★驻镇——南雄市水利灌溉工程</t>
  </si>
  <si>
    <t>驻镇——南雄市病险山塘除险加固工程</t>
  </si>
  <si>
    <t>★驻镇-南雄市雄州镇至密下水公路改建工程（B标段）（路网联结工程）【重新补入】</t>
  </si>
  <si>
    <t>南雄市会展中心至南雄职中市政道路改建工程等66个工程项目（示范创建）</t>
  </si>
  <si>
    <t>★驻镇-南雄市2022年农村公路养护工程资金（养护工程）【重新补入】</t>
  </si>
  <si>
    <t>2022年韶关市级乡村振兴驻镇帮镇扶村资金分配安排表</t>
  </si>
  <si>
    <t>南雄市农村宅基地基础信息补充调查项目</t>
  </si>
  <si>
    <t>★驻镇——南雄市乡镇环境卫生服务项目（七镇一街）</t>
  </si>
  <si>
    <t>南雄市镇级乡村振兴人才驿站设备采购项目</t>
  </si>
  <si>
    <t>县级配套资金</t>
  </si>
  <si>
    <t>2023年</t>
  </si>
  <si>
    <t>2023年南雄市本级配套乡村振兴驻镇帮镇扶村资金</t>
  </si>
  <si>
    <t>雄州街道产业路建设项目</t>
  </si>
  <si>
    <t>雄州街道勋口村工厂化养殖项目基础设施建设项目</t>
  </si>
  <si>
    <t>雄州街道擂台赛建设项目</t>
  </si>
  <si>
    <t>雄州街道迳口村阳光玫瑰葡萄产业园区基础设施提升项目</t>
  </si>
  <si>
    <t>雄州街道病险山塘除险加固项目</t>
  </si>
  <si>
    <t>雄州街道电商服务站点提升建设项目</t>
  </si>
  <si>
    <t>2022年韶关市南雄市镇域规划编制费用</t>
  </si>
  <si>
    <t>2022年农村公益事业建设奖补项目</t>
  </si>
  <si>
    <t>南雄市2022年撂荒耕地复耕复种奖补项目</t>
  </si>
  <si>
    <t>南雄市村庄基础设施及产业基础设施建设项目</t>
  </si>
  <si>
    <t>南雄市2022年粮食生产奖补(早稻、大豆、社会化服务）</t>
  </si>
  <si>
    <t>韶关市南雄市全域人居环境整治美丽乡村建设项目</t>
  </si>
  <si>
    <t>2023年韶关市驻镇帮镇扶村资金</t>
  </si>
  <si>
    <t>南雄市农村公益事业建设奖补项目</t>
  </si>
  <si>
    <t>南雄市巩固拓展脱贫成果项目</t>
  </si>
  <si>
    <t>南雄市农业品牌建设及新型农业经营主体奖补项目</t>
  </si>
  <si>
    <t>2023年南雄市新时代文明实践中心（所、站）提升建设及数字乡村“一张图”平台建设项目</t>
  </si>
  <si>
    <t>南雄市绿美乡村建设项目</t>
  </si>
  <si>
    <t>南雄市雄州街道Y407乡道（铺背段）沿线人居环境整治提升项目</t>
  </si>
  <si>
    <t>雄州街道佛子村道路扩建项目</t>
  </si>
  <si>
    <t>雄州街道各村四小园建设项目</t>
  </si>
  <si>
    <t>★驻镇——南雄市（第二批）十镇环卫服务市场化委托运营项目</t>
  </si>
  <si>
    <t>南雄市卫生院提升改造项目（湖口、澜河）</t>
  </si>
  <si>
    <t>市气象局</t>
  </si>
  <si>
    <t>2023年南雄市农业气象服务保障项目</t>
  </si>
  <si>
    <t>2023年珠三角对口帮扶韶关市驻镇帮镇扶村资金（第一批）</t>
  </si>
  <si>
    <t>南雄市全域人居环境整治美丽乡村建设项目</t>
  </si>
  <si>
    <t>南雄市柑橘类果树黄龙病防控项目</t>
  </si>
  <si>
    <t>农产品质量安全体系建设项目</t>
  </si>
  <si>
    <t>2022年韶关市南雄市农村村内道路建设项目</t>
  </si>
  <si>
    <t>南雄市农民建房申请审批系统</t>
  </si>
  <si>
    <t>南雄市支持发展新型农村集体经济试点项目</t>
  </si>
  <si>
    <t>三线整治工程</t>
  </si>
  <si>
    <t>科技特派员</t>
  </si>
  <si>
    <t>市商务局</t>
  </si>
  <si>
    <t>南雄市促进电子商务发展助力乡村振兴奖励扶持项目</t>
  </si>
  <si>
    <t>南雄市数字乡村信息化建设项目</t>
  </si>
  <si>
    <t>南雄市澜河镇卫生院业务综合楼项目</t>
  </si>
  <si>
    <t>南雄市江头镇公路改建工程</t>
  </si>
  <si>
    <t>2023年珠三角对口帮扶韶关市驻镇帮镇扶村资金（第二批）</t>
  </si>
  <si>
    <t>南雄市农村生活垃圾分类项目</t>
  </si>
  <si>
    <t>2023年珠三角对口帮扶韶关市驻镇帮镇扶村资金（第三批）</t>
  </si>
  <si>
    <t>韶关市南雄市受污染耕地安全利用补助项目</t>
  </si>
  <si>
    <t>南雄市农产品质量安全监督项目</t>
  </si>
  <si>
    <t>南雄市精勤农民培育项目</t>
  </si>
  <si>
    <t>南雄市农业外来入侵物种普查项目</t>
  </si>
  <si>
    <t>2023年南雄市驻镇帮镇扶村工作队工作经费</t>
  </si>
  <si>
    <t>南雄市巩固拓展脱贫攻坚成果项目</t>
  </si>
  <si>
    <t>南雄市果业协会数字与电商平台建设项目</t>
  </si>
  <si>
    <t>2022年南雄市助力老区乡村振兴“光亮工程公益项目”</t>
  </si>
  <si>
    <t>南雄市5个镇农村消防设施建设项目</t>
  </si>
  <si>
    <t>2023年省级涉农驻镇帮镇扶村资金</t>
  </si>
  <si>
    <t>南雄市2023年乡村振兴发展研究服务项目</t>
  </si>
  <si>
    <t>韶关市南雄市2023年村庄基础设施及产业基础设施建设项目</t>
  </si>
  <si>
    <t>南雄农业新品种新技术示范种植项目</t>
  </si>
  <si>
    <t>2023年韶关市南雄市全域人居环境整治项目</t>
  </si>
  <si>
    <t>2023年韶关市南雄市开展农产品农药残留快速检测及定量检测、畜禽水产品定量检测、监督抽查、追溯体系建设补贴补助等项目</t>
  </si>
  <si>
    <t>2023年韶关市南雄市养殖环节无害化处理补助项目</t>
  </si>
  <si>
    <t>韶关市南雄市2023年农资农药废弃物集中回收和处置项目</t>
  </si>
  <si>
    <t>南雄市2023年秸秆打捆回收作业补贴项目</t>
  </si>
  <si>
    <t>2023年南雄市退化耕地治理与耕地质量等级评价项目（土壤酸化耕地治理）</t>
  </si>
  <si>
    <t>韶关市南雄市第三次全国土壤普查</t>
  </si>
  <si>
    <t>南雄市农村宅基地基础性信息补充调查项目</t>
  </si>
  <si>
    <t>南雄市2023年全面推进河长制湖长制项目</t>
  </si>
  <si>
    <t>南雄市2023年水资源节约与保护项目</t>
  </si>
  <si>
    <t>南雄市2023年农村水利水电项目</t>
  </si>
  <si>
    <t>南雄市2023年水利安全度汛项目</t>
  </si>
  <si>
    <t>南雄市2023年农村集中供水项目</t>
  </si>
  <si>
    <t>南雄市2023年中小河流治理项目</t>
  </si>
  <si>
    <t>南雄市美丽圩镇建设项目</t>
  </si>
  <si>
    <t>南雄市17个镇级污水处理厂及配套管网运维服务</t>
  </si>
  <si>
    <t>南雄市（第二批）十镇环卫服务市场化委托运营项目</t>
  </si>
  <si>
    <t>南雄市乡镇环境卫生服务项目（七镇一街）</t>
  </si>
  <si>
    <t>南雄市县域医共体基层医疗机构特色科室建设项目</t>
  </si>
  <si>
    <t>南雄市农村污水处理设施及配套管网运维服务</t>
  </si>
  <si>
    <t>南雄市农村生活污水水质监测项目</t>
  </si>
  <si>
    <t>南雄市整县推进村镇生活污水基础设施PPP项目农村污水处理设施及配套管网服务费</t>
  </si>
  <si>
    <t>南雄市综合性文化服务中心提质增效达标建设</t>
  </si>
  <si>
    <t>2023年省级第二批驻镇帮镇扶村资金</t>
  </si>
  <si>
    <t>南雄市2023年村庄基础设施及产业基础设施建设项目</t>
  </si>
  <si>
    <t>南雄市粮食储备库氮气气调储粮项目（发改局）</t>
  </si>
  <si>
    <t>2023年韶关市南雄市全域人居环境整治美丽乡村建设项目</t>
  </si>
  <si>
    <t>2022-2023年中央衔接资金支出进度情况明细表</t>
  </si>
  <si>
    <t>中央</t>
  </si>
  <si>
    <t>2022年中央财政衔接推进乡村振兴补助（巩固脱贫成果）</t>
  </si>
  <si>
    <t>粤财农〔2021〕169号</t>
  </si>
  <si>
    <t>湖口镇</t>
  </si>
  <si>
    <t>湖口镇产业发展及小型公益性基础设施建设项目</t>
  </si>
  <si>
    <t>乡村振兴示范带创建项目</t>
  </si>
  <si>
    <t>农房管控风貌提升以奖代补项目</t>
  </si>
  <si>
    <t>2022年中央财政衔接推进乡村振兴补助（少数民族发展）</t>
  </si>
  <si>
    <t>粤财行[2021]140号</t>
  </si>
  <si>
    <t>市委统战部</t>
  </si>
  <si>
    <t>南雄市黄坑镇许村农旅及附属设施建设项目</t>
  </si>
  <si>
    <t>南雄市黄坑镇许村民族文化长廊及附属设施建设项目</t>
  </si>
  <si>
    <t>2023年中央财政衔接推进乡村振兴补助（巩固脱贫成果）</t>
  </si>
  <si>
    <t>粤财农〔2022〕181号</t>
  </si>
  <si>
    <t>南雄市通村入户便民利民提升工程项目</t>
  </si>
  <si>
    <t>2023年第二批中央财政衔接推进乡村振兴补助资金（巩固拓展脱贫攻坚成果和乡村振兴任务）</t>
  </si>
  <si>
    <t>韶财农〔2023〕79号</t>
  </si>
  <si>
    <t>扶持壮大6个村级集体经济发展</t>
  </si>
  <si>
    <t>2023年中央财政衔接推进乡村振兴补助（少数民族发展）</t>
  </si>
  <si>
    <t>雄财行〔2022〕56号</t>
  </si>
  <si>
    <t>南雄市黄坑镇许村连心桥及其附属工程建设项目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</si>
</sst>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00_ "/>
    <numFmt numFmtId="178" formatCode="0.00000_ "/>
    <numFmt numFmtId="179" formatCode="#,##0.0000"/>
    <numFmt numFmtId="180" formatCode="0_ "/>
    <numFmt numFmtId="181" formatCode="0.000_ "/>
    <numFmt numFmtId="182" formatCode="0.0000_ "/>
  </numFmts>
  <fonts count="33">
    <font>
      <sz val="11"/>
      <color theme="1"/>
      <name val="宋体"/>
      <charset val="134"/>
      <scheme val="minor"/>
    </font>
    <font>
      <sz val="20"/>
      <name val="方正小标宋简体"/>
      <charset val="134"/>
    </font>
    <font>
      <sz val="11"/>
      <name val="宋体"/>
      <charset val="134"/>
      <scheme val="minor"/>
    </font>
    <font>
      <sz val="10"/>
      <name val="宋体"/>
      <charset val="134"/>
      <scheme val="minor"/>
    </font>
    <font>
      <b/>
      <sz val="10"/>
      <name val="黑体"/>
      <charset val="134"/>
    </font>
    <font>
      <b/>
      <sz val="10"/>
      <name val="宋体"/>
      <charset val="134"/>
      <scheme val="minor"/>
    </font>
    <font>
      <sz val="10"/>
      <name val="宋体"/>
      <charset val="134"/>
    </font>
    <font>
      <sz val="10"/>
      <name val="宋体"/>
      <charset val="0"/>
    </font>
    <font>
      <sz val="11"/>
      <name val="黑体"/>
      <charset val="134"/>
    </font>
    <font>
      <sz val="11"/>
      <color theme="1"/>
      <name val="黑体"/>
      <charset val="134"/>
    </font>
    <font>
      <sz val="10"/>
      <name val="Arial"/>
      <charset val="134"/>
    </font>
    <font>
      <sz val="15"/>
      <name val="黑体"/>
      <charset val="134"/>
    </font>
    <font>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6">
    <fill>
      <patternFill patternType="none"/>
    </fill>
    <fill>
      <patternFill patternType="gray125"/>
    </fill>
    <fill>
      <patternFill patternType="solid">
        <fgColor rgb="FFFFFF00"/>
        <bgColor indexed="64"/>
      </patternFill>
    </fill>
    <fill>
      <patternFill patternType="solid">
        <fgColor theme="4" tint="0.6"/>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5"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6" borderId="8" applyNumberFormat="0" applyAlignment="0" applyProtection="0">
      <alignment vertical="center"/>
    </xf>
    <xf numFmtId="0" fontId="22" fillId="7" borderId="9" applyNumberFormat="0" applyAlignment="0" applyProtection="0">
      <alignment vertical="center"/>
    </xf>
    <xf numFmtId="0" fontId="23" fillId="7" borderId="8" applyNumberFormat="0" applyAlignment="0" applyProtection="0">
      <alignment vertical="center"/>
    </xf>
    <xf numFmtId="0" fontId="24" fillId="8"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32" fillId="0" borderId="0">
      <alignment vertical="center"/>
    </xf>
  </cellStyleXfs>
  <cellXfs count="9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2" fillId="0" borderId="0" xfId="0" applyFont="1" applyFill="1" applyAlignment="1">
      <alignment vertical="center" wrapText="1"/>
    </xf>
    <xf numFmtId="0" fontId="2" fillId="0" borderId="0" xfId="0" applyNumberFormat="1" applyFont="1" applyFill="1" applyAlignment="1">
      <alignment vertical="center" wrapText="1"/>
    </xf>
    <xf numFmtId="0" fontId="2" fillId="0" borderId="0" xfId="0" applyNumberFormat="1" applyFont="1" applyFill="1">
      <alignment vertical="center"/>
    </xf>
    <xf numFmtId="0" fontId="2" fillId="0" borderId="0" xfId="0" applyNumberFormat="1"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NumberFormat="1" applyFont="1" applyFill="1" applyAlignment="1">
      <alignment horizontal="center" vertical="center" wrapText="1"/>
    </xf>
    <xf numFmtId="0" fontId="4" fillId="0" borderId="1" xfId="49"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10"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0" xfId="0" applyNumberFormat="1" applyFont="1" applyFill="1" applyAlignment="1">
      <alignment horizontal="center"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vertical="center" wrapText="1"/>
    </xf>
    <xf numFmtId="0" fontId="6" fillId="0" borderId="0" xfId="0" applyFont="1" applyFill="1" applyAlignment="1">
      <alignment vertical="center" wrapText="1"/>
    </xf>
    <xf numFmtId="0" fontId="2" fillId="0" borderId="0" xfId="0" applyFont="1" applyFill="1" applyAlignment="1">
      <alignment vertical="center" wrapText="1"/>
    </xf>
    <xf numFmtId="0" fontId="2" fillId="0" borderId="0" xfId="0" applyNumberFormat="1" applyFont="1" applyFill="1" applyAlignment="1">
      <alignment vertical="center" wrapText="1"/>
    </xf>
    <xf numFmtId="0" fontId="2" fillId="0" borderId="0" xfId="0" applyNumberFormat="1" applyFont="1" applyFill="1">
      <alignment vertical="center"/>
    </xf>
    <xf numFmtId="0" fontId="2" fillId="0" borderId="0" xfId="0" applyNumberFormat="1"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NumberFormat="1" applyFont="1" applyFill="1" applyAlignment="1">
      <alignment horizontal="center" vertical="center" wrapText="1"/>
    </xf>
    <xf numFmtId="0" fontId="4" fillId="0" borderId="1" xfId="49"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1" fillId="0" borderId="0" xfId="0" applyNumberFormat="1" applyFont="1" applyFill="1" applyAlignment="1">
      <alignment horizontal="center" vertical="center"/>
    </xf>
    <xf numFmtId="177" fontId="6" fillId="0" borderId="1" xfId="21" applyNumberFormat="1" applyFont="1" applyFill="1" applyBorder="1" applyAlignment="1" applyProtection="1">
      <alignment horizontal="center" vertical="center" wrapText="1"/>
    </xf>
    <xf numFmtId="0" fontId="6" fillId="0" borderId="1" xfId="21"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NumberFormat="1"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8" fillId="0" borderId="0" xfId="0" applyFont="1" applyFill="1" applyBorder="1" applyAlignment="1">
      <alignment vertical="center"/>
    </xf>
    <xf numFmtId="0" fontId="1" fillId="0" borderId="0"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10" fillId="0" borderId="0" xfId="0" applyFont="1" applyFill="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12" fillId="3" borderId="1" xfId="0" applyFont="1" applyFill="1" applyBorder="1" applyAlignment="1">
      <alignment horizontal="center" vertical="center" wrapText="1"/>
    </xf>
    <xf numFmtId="180" fontId="12" fillId="0" borderId="1" xfId="0" applyNumberFormat="1" applyFont="1" applyFill="1" applyBorder="1" applyAlignment="1">
      <alignment horizontal="center" vertical="center" wrapText="1"/>
    </xf>
    <xf numFmtId="181"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182" fontId="12" fillId="0"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s>
  <dxfs count="2">
    <dxf>
      <font>
        <b val="0"/>
        <i val="0"/>
        <strike val="0"/>
        <u val="none"/>
        <sz val="12"/>
        <color rgb="FF9C0006"/>
      </font>
    </dxf>
    <dxf>
      <font>
        <b val="0"/>
        <i val="0"/>
        <strike val="0"/>
        <sz val="12"/>
        <color rgb="FF9C0006"/>
      </font>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3"/>
  <sheetViews>
    <sheetView view="pageBreakPreview" zoomScaleNormal="100" workbookViewId="0">
      <pane ySplit="2" topLeftCell="A3" activePane="bottomLeft" state="frozen"/>
      <selection/>
      <selection pane="bottomLeft" activeCell="G9" sqref="G9"/>
    </sheetView>
  </sheetViews>
  <sheetFormatPr defaultColWidth="9" defaultRowHeight="12.75"/>
  <cols>
    <col min="1" max="1" width="4.58333333333333" style="82"/>
    <col min="2" max="2" width="9.75" style="82" customWidth="1"/>
    <col min="3" max="4" width="12.625" style="82" customWidth="1"/>
    <col min="5" max="5" width="11.125" style="82"/>
    <col min="6" max="6" width="12.25" style="82" customWidth="1"/>
    <col min="7" max="7" width="9.5" style="82" customWidth="1"/>
    <col min="8" max="8" width="8.84166666666667" style="82" customWidth="1"/>
    <col min="9" max="9" width="9.25" style="82" customWidth="1"/>
    <col min="10" max="11" width="8.84166666666667" style="82" customWidth="1"/>
    <col min="12" max="12" width="12.25" style="82" customWidth="1"/>
    <col min="13" max="13" width="12.125" style="82" customWidth="1"/>
    <col min="14" max="16" width="8.84166666666667" style="82" customWidth="1"/>
    <col min="17" max="17" width="10.125" style="82" customWidth="1"/>
    <col min="18" max="18" width="9.5" style="82" customWidth="1"/>
    <col min="19" max="20" width="10.125" style="82" customWidth="1"/>
    <col min="21" max="21" width="9.5" style="82"/>
    <col min="22" max="22" width="11.125" style="82"/>
    <col min="23" max="23" width="9.5" style="82"/>
    <col min="24" max="24" width="11.125" style="82"/>
    <col min="25" max="25" width="10.125" style="82"/>
    <col min="26" max="26" width="12.25" style="82"/>
    <col min="27" max="28" width="11.125" style="82"/>
    <col min="29" max="16384" width="9" style="82"/>
  </cols>
  <sheetData>
    <row r="1" s="82" customFormat="1" ht="68" customHeight="1" spans="1:28">
      <c r="A1" s="83" t="s">
        <v>0</v>
      </c>
      <c r="B1" s="83"/>
      <c r="C1" s="83"/>
      <c r="D1" s="83"/>
      <c r="E1" s="83"/>
      <c r="F1" s="84" t="s">
        <v>1</v>
      </c>
      <c r="G1" s="84" t="s">
        <v>2</v>
      </c>
      <c r="H1" s="84"/>
      <c r="I1" s="84" t="s">
        <v>3</v>
      </c>
      <c r="J1" s="84" t="s">
        <v>4</v>
      </c>
      <c r="K1" s="84" t="s">
        <v>5</v>
      </c>
      <c r="L1" s="84" t="s">
        <v>6</v>
      </c>
      <c r="M1" s="84" t="s">
        <v>7</v>
      </c>
      <c r="N1" s="84" t="s">
        <v>8</v>
      </c>
      <c r="O1" s="84" t="s">
        <v>9</v>
      </c>
      <c r="P1" s="84" t="s">
        <v>10</v>
      </c>
      <c r="Q1" s="84" t="s">
        <v>11</v>
      </c>
      <c r="R1" s="84" t="s">
        <v>12</v>
      </c>
      <c r="S1" s="84" t="s">
        <v>13</v>
      </c>
      <c r="T1" s="84" t="s">
        <v>14</v>
      </c>
      <c r="U1" s="84" t="s">
        <v>15</v>
      </c>
      <c r="V1" s="84" t="s">
        <v>16</v>
      </c>
      <c r="W1" s="84" t="s">
        <v>17</v>
      </c>
      <c r="X1" s="84" t="s">
        <v>18</v>
      </c>
      <c r="Y1" s="84" t="s">
        <v>19</v>
      </c>
      <c r="Z1" s="97" t="s">
        <v>20</v>
      </c>
      <c r="AA1" s="97" t="s">
        <v>21</v>
      </c>
      <c r="AB1" s="90" t="s">
        <v>22</v>
      </c>
    </row>
    <row r="2" s="82" customFormat="1" ht="39" customHeight="1" spans="1:28">
      <c r="A2" s="84" t="s">
        <v>23</v>
      </c>
      <c r="B2" s="84" t="s">
        <v>24</v>
      </c>
      <c r="C2" s="84" t="s">
        <v>25</v>
      </c>
      <c r="D2" s="84" t="s">
        <v>26</v>
      </c>
      <c r="E2" s="84" t="s">
        <v>27</v>
      </c>
      <c r="F2" s="85" t="s">
        <v>28</v>
      </c>
      <c r="G2" s="85" t="s">
        <v>29</v>
      </c>
      <c r="H2" s="85" t="s">
        <v>30</v>
      </c>
      <c r="I2" s="85" t="s">
        <v>31</v>
      </c>
      <c r="J2" s="85" t="s">
        <v>32</v>
      </c>
      <c r="K2" s="85" t="s">
        <v>33</v>
      </c>
      <c r="L2" s="91" t="s">
        <v>34</v>
      </c>
      <c r="M2" s="91" t="s">
        <v>35</v>
      </c>
      <c r="N2" s="91" t="s">
        <v>36</v>
      </c>
      <c r="O2" s="91" t="s">
        <v>37</v>
      </c>
      <c r="P2" s="91" t="s">
        <v>38</v>
      </c>
      <c r="Q2" s="91" t="s">
        <v>39</v>
      </c>
      <c r="R2" s="91" t="s">
        <v>40</v>
      </c>
      <c r="S2" s="96" t="s">
        <v>41</v>
      </c>
      <c r="T2" s="96" t="s">
        <v>42</v>
      </c>
      <c r="U2" s="96" t="s">
        <v>43</v>
      </c>
      <c r="V2" s="96" t="s">
        <v>44</v>
      </c>
      <c r="W2" s="96" t="s">
        <v>45</v>
      </c>
      <c r="X2" s="96" t="s">
        <v>46</v>
      </c>
      <c r="Y2" s="96" t="s">
        <v>47</v>
      </c>
      <c r="Z2" s="90"/>
      <c r="AA2" s="90"/>
      <c r="AB2" s="90"/>
    </row>
    <row r="3" s="82" customFormat="1" ht="29" customHeight="1" spans="1:28">
      <c r="A3" s="84" t="s">
        <v>48</v>
      </c>
      <c r="B3" s="84"/>
      <c r="C3" s="84">
        <f>SUM(C4:C22)</f>
        <v>72028</v>
      </c>
      <c r="D3" s="84">
        <f>SUM(D4:D22)</f>
        <v>102764.35</v>
      </c>
      <c r="E3" s="84">
        <v>10273</v>
      </c>
      <c r="F3" s="86">
        <f t="shared" ref="F3:AA3" si="0">SUM(F4:F22)</f>
        <v>8500</v>
      </c>
      <c r="G3" s="86">
        <f t="shared" si="0"/>
        <v>4886</v>
      </c>
      <c r="H3" s="86">
        <f t="shared" si="0"/>
        <v>787</v>
      </c>
      <c r="I3" s="86">
        <f t="shared" si="0"/>
        <v>4527</v>
      </c>
      <c r="J3" s="86">
        <v>2328</v>
      </c>
      <c r="K3" s="86">
        <f>SUM(K4:K22)</f>
        <v>3100</v>
      </c>
      <c r="L3" s="92">
        <f>SUM(L4:L22)</f>
        <v>18600</v>
      </c>
      <c r="M3" s="86">
        <f>SUM(M4:M22)</f>
        <v>5727</v>
      </c>
      <c r="N3" s="86">
        <f t="shared" si="0"/>
        <v>4886</v>
      </c>
      <c r="O3" s="86">
        <f t="shared" si="0"/>
        <v>787</v>
      </c>
      <c r="P3" s="86">
        <f t="shared" si="0"/>
        <v>4527</v>
      </c>
      <c r="Q3" s="86">
        <f t="shared" si="0"/>
        <v>2328</v>
      </c>
      <c r="R3" s="86">
        <f t="shared" si="0"/>
        <v>3100</v>
      </c>
      <c r="S3" s="92">
        <f t="shared" si="0"/>
        <v>18600</v>
      </c>
      <c r="T3" s="92">
        <v>5744</v>
      </c>
      <c r="U3" s="92">
        <f t="shared" si="0"/>
        <v>2328</v>
      </c>
      <c r="V3" s="92">
        <f t="shared" si="0"/>
        <v>4886</v>
      </c>
      <c r="W3" s="92">
        <f t="shared" si="0"/>
        <v>787</v>
      </c>
      <c r="X3" s="92">
        <f>SUM(X4:X23)</f>
        <v>4527</v>
      </c>
      <c r="Y3" s="92">
        <f t="shared" si="0"/>
        <v>3100</v>
      </c>
      <c r="Z3" s="86">
        <f t="shared" si="0"/>
        <v>24128</v>
      </c>
      <c r="AA3" s="86">
        <f t="shared" si="0"/>
        <v>39955</v>
      </c>
      <c r="AB3" s="97">
        <f>SUM(S3:Y3)</f>
        <v>39972</v>
      </c>
    </row>
    <row r="4" s="82" customFormat="1" ht="29" customHeight="1" spans="1:28">
      <c r="A4" s="86">
        <v>1</v>
      </c>
      <c r="B4" s="84" t="s">
        <v>49</v>
      </c>
      <c r="C4" s="84">
        <f>32470.240601-220.258-1000</f>
        <v>31249.982601</v>
      </c>
      <c r="D4" s="87">
        <f>SUM(F4:Y4)</f>
        <v>46624.798983</v>
      </c>
      <c r="E4" s="88">
        <v>5385</v>
      </c>
      <c r="F4" s="89">
        <v>7534.772601</v>
      </c>
      <c r="G4" s="86">
        <v>3473</v>
      </c>
      <c r="H4" s="84"/>
      <c r="I4" s="93">
        <f>4527-213-220.258</f>
        <v>4093.742</v>
      </c>
      <c r="J4" s="84">
        <v>28</v>
      </c>
      <c r="K4" s="86">
        <v>500</v>
      </c>
      <c r="L4" s="89">
        <v>7439.089983</v>
      </c>
      <c r="M4" s="94">
        <v>200</v>
      </c>
      <c r="N4" s="86">
        <v>936</v>
      </c>
      <c r="O4" s="86"/>
      <c r="P4" s="86">
        <v>362</v>
      </c>
      <c r="Q4" s="95">
        <f>1974.1643+28</f>
        <v>2002.1643</v>
      </c>
      <c r="R4" s="86">
        <v>1700</v>
      </c>
      <c r="S4" s="95">
        <v>7001.6905</v>
      </c>
      <c r="T4" s="95">
        <v>4553.675</v>
      </c>
      <c r="U4" s="95">
        <f>698.5755+28</f>
        <v>726.5755</v>
      </c>
      <c r="V4" s="95">
        <f>2989.8532-629.3425</f>
        <v>2360.5107</v>
      </c>
      <c r="W4" s="86"/>
      <c r="X4" s="95">
        <v>2157</v>
      </c>
      <c r="Y4" s="95">
        <v>1556.578399</v>
      </c>
      <c r="Z4" s="98">
        <f>F4+G4+I4+H4+J4+K4</f>
        <v>15629.514601</v>
      </c>
      <c r="AA4" s="97">
        <f>L4+M4+N4+O4+P4+R4+Q4</f>
        <v>12639.254283</v>
      </c>
      <c r="AB4" s="97">
        <f>SUM(S4:Y4)</f>
        <v>18356.030099</v>
      </c>
    </row>
    <row r="5" s="82" customFormat="1" ht="29" customHeight="1" spans="1:28">
      <c r="A5" s="86">
        <v>2</v>
      </c>
      <c r="B5" s="84" t="s">
        <v>50</v>
      </c>
      <c r="C5" s="84">
        <v>13098.792619</v>
      </c>
      <c r="D5" s="87">
        <f t="shared" ref="D5:D22" si="1">SUM(F5:Y5)</f>
        <v>17890.217119</v>
      </c>
      <c r="E5" s="88">
        <v>2633</v>
      </c>
      <c r="F5" s="84">
        <v>829.005902</v>
      </c>
      <c r="G5" s="84">
        <v>1213</v>
      </c>
      <c r="H5" s="84">
        <v>787</v>
      </c>
      <c r="I5" s="84"/>
      <c r="J5" s="84"/>
      <c r="K5" s="84"/>
      <c r="L5" s="89">
        <v>5269.786717</v>
      </c>
      <c r="M5" s="94">
        <f>2843.39078-476.39078</f>
        <v>2367</v>
      </c>
      <c r="N5" s="89"/>
      <c r="O5" s="89"/>
      <c r="P5" s="89"/>
      <c r="Q5" s="89">
        <v>246.9825</v>
      </c>
      <c r="R5" s="89"/>
      <c r="S5" s="95">
        <v>5080</v>
      </c>
      <c r="T5" s="95"/>
      <c r="U5" s="95">
        <v>211.4245</v>
      </c>
      <c r="V5" s="89">
        <v>300</v>
      </c>
      <c r="W5" s="86">
        <v>787</v>
      </c>
      <c r="X5" s="89">
        <v>799.0175</v>
      </c>
      <c r="Y5" s="89"/>
      <c r="Z5" s="97">
        <f t="shared" ref="Z5:Z19" si="2">F5+G5+I5+H5+J5+K5</f>
        <v>2829.005902</v>
      </c>
      <c r="AA5" s="97">
        <f t="shared" ref="AA5:AA17" si="3">L5+M5+N5+O5+P5+R5+Q5</f>
        <v>7883.769217</v>
      </c>
      <c r="AB5" s="97">
        <f t="shared" ref="AB4:AB22" si="4">SUM(S5:Y5)</f>
        <v>7177.442</v>
      </c>
    </row>
    <row r="6" s="82" customFormat="1" ht="29" customHeight="1" spans="1:28">
      <c r="A6" s="86">
        <v>3</v>
      </c>
      <c r="B6" s="84" t="s">
        <v>51</v>
      </c>
      <c r="C6" s="84">
        <v>4668.059297</v>
      </c>
      <c r="D6" s="87">
        <f t="shared" si="1"/>
        <v>4795.659254</v>
      </c>
      <c r="E6" s="88">
        <v>0</v>
      </c>
      <c r="F6" s="89">
        <v>136.221497</v>
      </c>
      <c r="G6" s="84"/>
      <c r="H6" s="84"/>
      <c r="I6" s="84"/>
      <c r="J6" s="86">
        <v>1500</v>
      </c>
      <c r="K6" s="84"/>
      <c r="L6" s="89">
        <v>1309.437757</v>
      </c>
      <c r="M6" s="94">
        <v>1500</v>
      </c>
      <c r="N6" s="84"/>
      <c r="O6" s="84"/>
      <c r="P6" s="84"/>
      <c r="Q6" s="84"/>
      <c r="R6" s="84"/>
      <c r="S6" s="84"/>
      <c r="T6" s="84"/>
      <c r="U6" s="84"/>
      <c r="V6" s="84">
        <v>350</v>
      </c>
      <c r="W6" s="84"/>
      <c r="X6" s="84"/>
      <c r="Y6" s="84"/>
      <c r="Z6" s="97">
        <f t="shared" si="2"/>
        <v>1636.221497</v>
      </c>
      <c r="AA6" s="97">
        <f t="shared" si="3"/>
        <v>2809.437757</v>
      </c>
      <c r="AB6" s="97">
        <f t="shared" si="4"/>
        <v>350</v>
      </c>
    </row>
    <row r="7" s="82" customFormat="1" ht="29" customHeight="1" spans="1:28">
      <c r="A7" s="86">
        <v>4</v>
      </c>
      <c r="B7" s="84" t="s">
        <v>52</v>
      </c>
      <c r="C7" s="84">
        <v>2267.792583</v>
      </c>
      <c r="D7" s="87">
        <f t="shared" si="1"/>
        <v>3537.396823</v>
      </c>
      <c r="E7" s="88"/>
      <c r="F7" s="89"/>
      <c r="G7" s="84"/>
      <c r="H7" s="84"/>
      <c r="I7" s="84"/>
      <c r="J7" s="86">
        <v>200</v>
      </c>
      <c r="K7" s="84"/>
      <c r="L7" s="89">
        <v>2237.396823</v>
      </c>
      <c r="M7" s="94"/>
      <c r="N7" s="84"/>
      <c r="O7" s="84"/>
      <c r="P7" s="84"/>
      <c r="Q7" s="84"/>
      <c r="R7" s="84"/>
      <c r="S7" s="84"/>
      <c r="T7" s="84"/>
      <c r="U7" s="84">
        <v>550</v>
      </c>
      <c r="V7" s="84"/>
      <c r="W7" s="84"/>
      <c r="X7" s="84">
        <v>550</v>
      </c>
      <c r="Y7" s="84"/>
      <c r="Z7" s="97">
        <f t="shared" si="2"/>
        <v>200</v>
      </c>
      <c r="AA7" s="97">
        <f t="shared" si="3"/>
        <v>2237.396823</v>
      </c>
      <c r="AB7" s="97">
        <f t="shared" si="4"/>
        <v>1100</v>
      </c>
    </row>
    <row r="8" s="82" customFormat="1" ht="29" customHeight="1" spans="1:28">
      <c r="A8" s="86">
        <v>5</v>
      </c>
      <c r="B8" s="84" t="s">
        <v>53</v>
      </c>
      <c r="C8" s="84">
        <v>2000</v>
      </c>
      <c r="D8" s="87">
        <f t="shared" si="1"/>
        <v>6593.3095</v>
      </c>
      <c r="E8" s="88"/>
      <c r="F8" s="89"/>
      <c r="G8" s="84"/>
      <c r="H8" s="84"/>
      <c r="I8" s="84"/>
      <c r="J8" s="84"/>
      <c r="K8" s="86">
        <v>1000</v>
      </c>
      <c r="L8" s="89"/>
      <c r="M8" s="94">
        <v>1000</v>
      </c>
      <c r="N8" s="84"/>
      <c r="O8" s="84"/>
      <c r="P8" s="84"/>
      <c r="Q8" s="84"/>
      <c r="R8" s="84"/>
      <c r="S8" s="84">
        <v>4593.3095</v>
      </c>
      <c r="T8" s="84"/>
      <c r="U8" s="84"/>
      <c r="V8" s="84"/>
      <c r="W8" s="84"/>
      <c r="X8" s="84"/>
      <c r="Y8" s="84"/>
      <c r="Z8" s="97">
        <f t="shared" si="2"/>
        <v>1000</v>
      </c>
      <c r="AA8" s="97">
        <f t="shared" si="3"/>
        <v>1000</v>
      </c>
      <c r="AB8" s="97">
        <f t="shared" si="4"/>
        <v>4593.3095</v>
      </c>
    </row>
    <row r="9" s="82" customFormat="1" ht="29" customHeight="1" spans="1:28">
      <c r="A9" s="86">
        <v>6</v>
      </c>
      <c r="B9" s="84" t="s">
        <v>54</v>
      </c>
      <c r="C9" s="84">
        <v>800</v>
      </c>
      <c r="D9" s="87">
        <f t="shared" si="1"/>
        <v>800</v>
      </c>
      <c r="E9" s="88">
        <v>600</v>
      </c>
      <c r="F9" s="89"/>
      <c r="G9" s="84"/>
      <c r="H9" s="84"/>
      <c r="I9" s="84"/>
      <c r="J9" s="84"/>
      <c r="K9" s="86">
        <v>200</v>
      </c>
      <c r="L9" s="89"/>
      <c r="M9" s="94"/>
      <c r="N9" s="84"/>
      <c r="O9" s="84"/>
      <c r="P9" s="84"/>
      <c r="Q9" s="84"/>
      <c r="R9" s="84"/>
      <c r="S9" s="84"/>
      <c r="T9" s="84"/>
      <c r="U9" s="84"/>
      <c r="V9" s="84">
        <v>600</v>
      </c>
      <c r="W9" s="84"/>
      <c r="X9" s="84"/>
      <c r="Y9" s="84"/>
      <c r="Z9" s="97">
        <f t="shared" si="2"/>
        <v>200</v>
      </c>
      <c r="AA9" s="97">
        <f t="shared" si="3"/>
        <v>0</v>
      </c>
      <c r="AB9" s="97">
        <f t="shared" si="4"/>
        <v>600</v>
      </c>
    </row>
    <row r="10" s="82" customFormat="1" ht="29" customHeight="1" spans="1:28">
      <c r="A10" s="86">
        <v>7</v>
      </c>
      <c r="B10" s="84" t="s">
        <v>55</v>
      </c>
      <c r="C10" s="84">
        <v>50</v>
      </c>
      <c r="D10" s="87">
        <f t="shared" si="1"/>
        <v>50</v>
      </c>
      <c r="E10" s="88">
        <v>50</v>
      </c>
      <c r="F10" s="89"/>
      <c r="G10" s="84"/>
      <c r="H10" s="84"/>
      <c r="I10" s="84"/>
      <c r="J10" s="84"/>
      <c r="K10" s="84"/>
      <c r="L10" s="89"/>
      <c r="M10" s="94"/>
      <c r="N10" s="84"/>
      <c r="O10" s="84"/>
      <c r="P10" s="84"/>
      <c r="Q10" s="84"/>
      <c r="R10" s="84"/>
      <c r="S10" s="84"/>
      <c r="T10" s="84"/>
      <c r="U10" s="84"/>
      <c r="V10" s="84">
        <v>50</v>
      </c>
      <c r="W10" s="84"/>
      <c r="X10" s="84"/>
      <c r="Y10" s="84"/>
      <c r="Z10" s="97">
        <f t="shared" si="2"/>
        <v>0</v>
      </c>
      <c r="AA10" s="97">
        <f t="shared" si="3"/>
        <v>0</v>
      </c>
      <c r="AB10" s="97">
        <f t="shared" si="4"/>
        <v>50</v>
      </c>
    </row>
    <row r="11" s="82" customFormat="1" ht="29" customHeight="1" spans="1:28">
      <c r="A11" s="86">
        <v>8</v>
      </c>
      <c r="B11" s="84" t="s">
        <v>56</v>
      </c>
      <c r="C11" s="84">
        <v>400</v>
      </c>
      <c r="D11" s="87">
        <f t="shared" si="1"/>
        <v>1771.81963</v>
      </c>
      <c r="E11" s="88">
        <v>35</v>
      </c>
      <c r="F11" s="89"/>
      <c r="G11" s="84"/>
      <c r="H11" s="84"/>
      <c r="I11" s="84"/>
      <c r="J11" s="84"/>
      <c r="K11" s="84"/>
      <c r="L11" s="87">
        <v>1.81963</v>
      </c>
      <c r="M11" s="94"/>
      <c r="N11" s="84"/>
      <c r="O11" s="84"/>
      <c r="P11" s="84">
        <v>15</v>
      </c>
      <c r="Q11" s="84"/>
      <c r="R11" s="84"/>
      <c r="S11" s="84">
        <v>1720</v>
      </c>
      <c r="T11" s="84"/>
      <c r="U11" s="84"/>
      <c r="V11" s="84">
        <v>35</v>
      </c>
      <c r="W11" s="84"/>
      <c r="X11" s="84"/>
      <c r="Y11" s="84"/>
      <c r="Z11" s="97">
        <f t="shared" si="2"/>
        <v>0</v>
      </c>
      <c r="AA11" s="97">
        <f t="shared" si="3"/>
        <v>16.81963</v>
      </c>
      <c r="AB11" s="97">
        <f t="shared" si="4"/>
        <v>1755</v>
      </c>
    </row>
    <row r="12" s="82" customFormat="1" ht="29" customHeight="1" spans="1:28">
      <c r="A12" s="86">
        <v>9</v>
      </c>
      <c r="B12" s="84" t="s">
        <v>57</v>
      </c>
      <c r="C12" s="84">
        <v>1609.965</v>
      </c>
      <c r="D12" s="87">
        <f t="shared" si="1"/>
        <v>1609.965</v>
      </c>
      <c r="E12" s="88"/>
      <c r="F12" s="89"/>
      <c r="G12" s="84"/>
      <c r="H12" s="84"/>
      <c r="I12" s="84"/>
      <c r="J12" s="84"/>
      <c r="K12" s="84"/>
      <c r="L12" s="93">
        <v>1609.965</v>
      </c>
      <c r="M12" s="94"/>
      <c r="N12" s="84"/>
      <c r="O12" s="84"/>
      <c r="P12" s="84"/>
      <c r="Q12" s="84"/>
      <c r="R12" s="84"/>
      <c r="S12" s="84"/>
      <c r="T12" s="84"/>
      <c r="U12" s="84"/>
      <c r="V12" s="84"/>
      <c r="W12" s="84"/>
      <c r="X12" s="84"/>
      <c r="Y12" s="84"/>
      <c r="Z12" s="97">
        <f t="shared" si="2"/>
        <v>0</v>
      </c>
      <c r="AA12" s="97">
        <f t="shared" si="3"/>
        <v>1609.965</v>
      </c>
      <c r="AB12" s="97">
        <f t="shared" si="4"/>
        <v>0</v>
      </c>
    </row>
    <row r="13" s="82" customFormat="1" ht="29" customHeight="1" spans="1:28">
      <c r="A13" s="86">
        <v>10</v>
      </c>
      <c r="B13" s="84" t="s">
        <v>58</v>
      </c>
      <c r="C13" s="84">
        <f>360+220.258</f>
        <v>580.258</v>
      </c>
      <c r="D13" s="87">
        <f t="shared" si="1"/>
        <v>1060.258</v>
      </c>
      <c r="E13" s="88">
        <v>0</v>
      </c>
      <c r="F13" s="89"/>
      <c r="G13" s="84"/>
      <c r="H13" s="84"/>
      <c r="I13" s="84">
        <v>220.258</v>
      </c>
      <c r="J13" s="84"/>
      <c r="K13" s="84"/>
      <c r="L13" s="89"/>
      <c r="M13" s="94">
        <v>360</v>
      </c>
      <c r="N13" s="84"/>
      <c r="O13" s="84"/>
      <c r="P13" s="84"/>
      <c r="Q13" s="84"/>
      <c r="R13" s="84"/>
      <c r="S13" s="84"/>
      <c r="T13" s="84"/>
      <c r="U13" s="84">
        <v>180</v>
      </c>
      <c r="V13" s="84"/>
      <c r="W13" s="84"/>
      <c r="X13" s="84">
        <v>300</v>
      </c>
      <c r="Y13" s="84"/>
      <c r="Z13" s="97">
        <f t="shared" si="2"/>
        <v>220.258</v>
      </c>
      <c r="AA13" s="97">
        <f t="shared" si="3"/>
        <v>360</v>
      </c>
      <c r="AB13" s="97">
        <f t="shared" si="4"/>
        <v>480</v>
      </c>
    </row>
    <row r="14" s="82" customFormat="1" ht="29" customHeight="1" spans="1:28">
      <c r="A14" s="86">
        <v>11</v>
      </c>
      <c r="B14" s="84" t="s">
        <v>59</v>
      </c>
      <c r="C14" s="84">
        <v>606.3838</v>
      </c>
      <c r="D14" s="87">
        <f t="shared" si="1"/>
        <v>1266.3838</v>
      </c>
      <c r="E14" s="88"/>
      <c r="F14" s="89"/>
      <c r="G14" s="84"/>
      <c r="H14" s="84"/>
      <c r="I14" s="84"/>
      <c r="J14" s="84"/>
      <c r="K14" s="84"/>
      <c r="L14" s="95">
        <v>606.3838</v>
      </c>
      <c r="M14" s="94"/>
      <c r="N14" s="84"/>
      <c r="O14" s="84"/>
      <c r="P14" s="84"/>
      <c r="Q14" s="84"/>
      <c r="R14" s="84"/>
      <c r="S14" s="84"/>
      <c r="T14" s="84"/>
      <c r="U14" s="84"/>
      <c r="V14" s="84">
        <v>400</v>
      </c>
      <c r="W14" s="84"/>
      <c r="X14" s="84">
        <v>260</v>
      </c>
      <c r="Y14" s="84"/>
      <c r="Z14" s="97">
        <f t="shared" si="2"/>
        <v>0</v>
      </c>
      <c r="AA14" s="97">
        <f t="shared" si="3"/>
        <v>606.3838</v>
      </c>
      <c r="AB14" s="97">
        <f t="shared" si="4"/>
        <v>660</v>
      </c>
    </row>
    <row r="15" s="82" customFormat="1" ht="29" customHeight="1" spans="1:28">
      <c r="A15" s="86">
        <v>12</v>
      </c>
      <c r="B15" s="84" t="s">
        <v>60</v>
      </c>
      <c r="C15" s="84">
        <v>496.7661</v>
      </c>
      <c r="D15" s="87">
        <f t="shared" si="1"/>
        <v>496.12029</v>
      </c>
      <c r="E15" s="88">
        <v>370</v>
      </c>
      <c r="F15" s="89"/>
      <c r="G15" s="84"/>
      <c r="H15" s="84"/>
      <c r="I15" s="84"/>
      <c r="J15" s="84"/>
      <c r="K15" s="84"/>
      <c r="L15" s="87">
        <v>126.12029</v>
      </c>
      <c r="M15" s="94"/>
      <c r="N15" s="84"/>
      <c r="O15" s="84"/>
      <c r="P15" s="84"/>
      <c r="Q15" s="84">
        <v>78.8532</v>
      </c>
      <c r="R15" s="84"/>
      <c r="S15" s="84"/>
      <c r="T15" s="84"/>
      <c r="U15" s="84"/>
      <c r="V15" s="84">
        <v>291.1468</v>
      </c>
      <c r="W15" s="84"/>
      <c r="X15" s="84"/>
      <c r="Y15" s="84"/>
      <c r="Z15" s="97">
        <f t="shared" si="2"/>
        <v>0</v>
      </c>
      <c r="AA15" s="97">
        <f t="shared" si="3"/>
        <v>204.97349</v>
      </c>
      <c r="AB15" s="97">
        <f t="shared" si="4"/>
        <v>291.1468</v>
      </c>
    </row>
    <row r="16" s="82" customFormat="1" ht="29" customHeight="1" spans="1:28">
      <c r="A16" s="86">
        <v>13</v>
      </c>
      <c r="B16" s="84" t="s">
        <v>61</v>
      </c>
      <c r="C16" s="84">
        <v>300</v>
      </c>
      <c r="D16" s="87">
        <f t="shared" si="1"/>
        <v>475</v>
      </c>
      <c r="E16" s="88">
        <v>0</v>
      </c>
      <c r="F16" s="89"/>
      <c r="G16" s="84"/>
      <c r="H16" s="84"/>
      <c r="I16" s="84"/>
      <c r="J16" s="84"/>
      <c r="K16" s="84"/>
      <c r="L16" s="89"/>
      <c r="M16" s="94">
        <v>300</v>
      </c>
      <c r="N16" s="84"/>
      <c r="O16" s="84"/>
      <c r="P16" s="84"/>
      <c r="Q16" s="84"/>
      <c r="R16" s="84"/>
      <c r="S16" s="84">
        <v>175</v>
      </c>
      <c r="T16" s="84"/>
      <c r="U16" s="84"/>
      <c r="V16" s="84"/>
      <c r="W16" s="84"/>
      <c r="X16" s="84"/>
      <c r="Y16" s="84"/>
      <c r="Z16" s="97">
        <f t="shared" si="2"/>
        <v>0</v>
      </c>
      <c r="AA16" s="97">
        <f t="shared" si="3"/>
        <v>300</v>
      </c>
      <c r="AB16" s="97">
        <f t="shared" si="4"/>
        <v>175</v>
      </c>
    </row>
    <row r="17" s="82" customFormat="1" ht="29" customHeight="1" spans="1:28">
      <c r="A17" s="86">
        <v>14</v>
      </c>
      <c r="B17" s="84" t="s">
        <v>62</v>
      </c>
      <c r="C17" s="84">
        <v>600</v>
      </c>
      <c r="D17" s="87">
        <f t="shared" si="1"/>
        <v>510</v>
      </c>
      <c r="E17" s="88">
        <v>600</v>
      </c>
      <c r="F17" s="89"/>
      <c r="G17" s="84"/>
      <c r="H17" s="84"/>
      <c r="I17" s="84"/>
      <c r="J17" s="84"/>
      <c r="K17" s="84"/>
      <c r="L17" s="89"/>
      <c r="M17" s="94"/>
      <c r="N17" s="84"/>
      <c r="O17" s="84"/>
      <c r="P17" s="84"/>
      <c r="Q17" s="84"/>
      <c r="R17" s="84"/>
      <c r="S17" s="84">
        <v>30</v>
      </c>
      <c r="T17" s="84"/>
      <c r="U17" s="84"/>
      <c r="V17" s="84">
        <v>409.3425</v>
      </c>
      <c r="W17" s="84"/>
      <c r="X17" s="84">
        <v>70.6575</v>
      </c>
      <c r="Y17" s="84"/>
      <c r="Z17" s="97">
        <f t="shared" si="2"/>
        <v>0</v>
      </c>
      <c r="AA17" s="97">
        <f t="shared" si="3"/>
        <v>0</v>
      </c>
      <c r="AB17" s="97">
        <f t="shared" si="4"/>
        <v>510</v>
      </c>
    </row>
    <row r="18" s="82" customFormat="1" ht="29" customHeight="1" spans="1:28">
      <c r="A18" s="86">
        <v>15</v>
      </c>
      <c r="B18" s="84" t="s">
        <v>63</v>
      </c>
      <c r="C18" s="84">
        <v>1000</v>
      </c>
      <c r="D18" s="87">
        <f t="shared" si="1"/>
        <v>0</v>
      </c>
      <c r="E18" s="88">
        <v>0</v>
      </c>
      <c r="F18" s="89"/>
      <c r="G18" s="84"/>
      <c r="H18" s="84"/>
      <c r="I18" s="84"/>
      <c r="J18" s="84"/>
      <c r="K18" s="84"/>
      <c r="L18" s="89"/>
      <c r="M18" s="94"/>
      <c r="N18" s="84"/>
      <c r="O18" s="84"/>
      <c r="P18" s="84"/>
      <c r="Q18" s="84"/>
      <c r="R18" s="84"/>
      <c r="S18" s="84"/>
      <c r="T18" s="84"/>
      <c r="U18" s="84"/>
      <c r="V18" s="84"/>
      <c r="W18" s="84"/>
      <c r="X18" s="84"/>
      <c r="Y18" s="84"/>
      <c r="Z18" s="97"/>
      <c r="AA18" s="97"/>
      <c r="AB18" s="97">
        <f t="shared" si="4"/>
        <v>0</v>
      </c>
    </row>
    <row r="19" s="82" customFormat="1" ht="29" customHeight="1" spans="1:28">
      <c r="A19" s="86"/>
      <c r="B19" s="84" t="s">
        <v>64</v>
      </c>
      <c r="C19" s="84"/>
      <c r="D19" s="87">
        <f t="shared" si="1"/>
        <v>150</v>
      </c>
      <c r="E19" s="88"/>
      <c r="F19" s="89"/>
      <c r="G19" s="84"/>
      <c r="H19" s="84"/>
      <c r="I19" s="84"/>
      <c r="J19" s="84"/>
      <c r="K19" s="84"/>
      <c r="L19" s="89"/>
      <c r="M19" s="94"/>
      <c r="N19" s="84"/>
      <c r="O19" s="84"/>
      <c r="P19" s="84"/>
      <c r="Q19" s="84"/>
      <c r="R19" s="84"/>
      <c r="S19" s="84"/>
      <c r="T19" s="84"/>
      <c r="U19" s="84">
        <v>60</v>
      </c>
      <c r="V19" s="84">
        <v>90</v>
      </c>
      <c r="W19" s="84"/>
      <c r="X19" s="84"/>
      <c r="Y19" s="84"/>
      <c r="Z19" s="97"/>
      <c r="AA19" s="97"/>
      <c r="AB19" s="97">
        <f t="shared" si="4"/>
        <v>150</v>
      </c>
    </row>
    <row r="20" s="82" customFormat="1" ht="29" customHeight="1" spans="1:28">
      <c r="A20" s="86"/>
      <c r="B20" s="84" t="s">
        <v>65</v>
      </c>
      <c r="C20" s="84"/>
      <c r="D20" s="87">
        <f t="shared" si="1"/>
        <v>290</v>
      </c>
      <c r="E20" s="88"/>
      <c r="F20" s="89"/>
      <c r="G20" s="84"/>
      <c r="H20" s="84"/>
      <c r="I20" s="84"/>
      <c r="J20" s="84"/>
      <c r="K20" s="84"/>
      <c r="L20" s="89"/>
      <c r="M20" s="94"/>
      <c r="N20" s="84"/>
      <c r="O20" s="84"/>
      <c r="P20" s="84"/>
      <c r="Q20" s="84"/>
      <c r="R20" s="84"/>
      <c r="S20" s="84"/>
      <c r="T20" s="84"/>
      <c r="U20" s="84"/>
      <c r="V20" s="84"/>
      <c r="W20" s="84"/>
      <c r="X20" s="84">
        <v>290</v>
      </c>
      <c r="Y20" s="84"/>
      <c r="Z20" s="97"/>
      <c r="AA20" s="97"/>
      <c r="AB20" s="97">
        <f t="shared" si="4"/>
        <v>290</v>
      </c>
    </row>
    <row r="21" s="82" customFormat="1" ht="29" customHeight="1" spans="1:28">
      <c r="A21" s="86">
        <v>16</v>
      </c>
      <c r="B21" s="84" t="s">
        <v>66</v>
      </c>
      <c r="C21" s="84">
        <v>4000</v>
      </c>
      <c r="D21" s="87">
        <f t="shared" si="1"/>
        <v>6543.421601</v>
      </c>
      <c r="E21" s="88">
        <v>600</v>
      </c>
      <c r="F21" s="89"/>
      <c r="G21" s="84"/>
      <c r="H21" s="84"/>
      <c r="I21" s="84">
        <v>213</v>
      </c>
      <c r="J21" s="86">
        <v>600</v>
      </c>
      <c r="K21" s="86">
        <v>1400</v>
      </c>
      <c r="L21" s="89"/>
      <c r="M21" s="94"/>
      <c r="N21" s="84"/>
      <c r="O21" s="84">
        <v>787</v>
      </c>
      <c r="P21" s="84"/>
      <c r="Q21" s="84"/>
      <c r="R21" s="86">
        <v>1400</v>
      </c>
      <c r="S21" s="86"/>
      <c r="T21" s="86"/>
      <c r="U21" s="86">
        <v>600</v>
      </c>
      <c r="V21" s="86"/>
      <c r="W21" s="86"/>
      <c r="X21" s="86"/>
      <c r="Y21" s="95">
        <v>1543.421601</v>
      </c>
      <c r="Z21" s="97">
        <f>F21+G21+I21+H21+J21+K21</f>
        <v>2213</v>
      </c>
      <c r="AA21" s="97">
        <f>L21+M21+N21+O21+P21+R21</f>
        <v>2187</v>
      </c>
      <c r="AB21" s="97">
        <f t="shared" si="4"/>
        <v>2143.421601</v>
      </c>
    </row>
    <row r="22" s="82" customFormat="1" ht="29" customHeight="1" spans="1:28">
      <c r="A22" s="86">
        <v>17</v>
      </c>
      <c r="B22" s="84" t="s">
        <v>67</v>
      </c>
      <c r="C22" s="84">
        <v>8300</v>
      </c>
      <c r="D22" s="87">
        <f t="shared" si="1"/>
        <v>8300</v>
      </c>
      <c r="E22" s="88">
        <v>0</v>
      </c>
      <c r="F22" s="89"/>
      <c r="G22" s="84">
        <v>200</v>
      </c>
      <c r="H22" s="84"/>
      <c r="I22" s="84"/>
      <c r="J22" s="84"/>
      <c r="K22" s="84"/>
      <c r="L22" s="89"/>
      <c r="M22" s="94"/>
      <c r="N22" s="86">
        <v>3950</v>
      </c>
      <c r="O22" s="84"/>
      <c r="P22" s="86">
        <v>4150</v>
      </c>
      <c r="Q22" s="86"/>
      <c r="R22" s="84"/>
      <c r="S22" s="84"/>
      <c r="T22" s="84"/>
      <c r="U22" s="84"/>
      <c r="V22" s="84"/>
      <c r="W22" s="84"/>
      <c r="X22" s="84"/>
      <c r="Y22" s="84"/>
      <c r="Z22" s="97">
        <f>F22+G22+I22+H22+J22+K22</f>
        <v>200</v>
      </c>
      <c r="AA22" s="97">
        <f>L22+M22+N22+O22+P22+R22</f>
        <v>8100</v>
      </c>
      <c r="AB22" s="97">
        <f t="shared" si="4"/>
        <v>0</v>
      </c>
    </row>
    <row r="23" ht="24" spans="1:28">
      <c r="A23" s="90"/>
      <c r="B23" s="24" t="s">
        <v>68</v>
      </c>
      <c r="C23" s="90"/>
      <c r="D23" s="90"/>
      <c r="E23" s="90"/>
      <c r="F23" s="90"/>
      <c r="G23" s="90"/>
      <c r="H23" s="90"/>
      <c r="I23" s="90"/>
      <c r="J23" s="90"/>
      <c r="K23" s="90"/>
      <c r="L23" s="90"/>
      <c r="M23" s="90"/>
      <c r="N23" s="90"/>
      <c r="O23" s="90"/>
      <c r="P23" s="90"/>
      <c r="Q23" s="90"/>
      <c r="R23" s="90"/>
      <c r="S23" s="90"/>
      <c r="T23" s="90"/>
      <c r="U23" s="90"/>
      <c r="V23" s="90"/>
      <c r="W23" s="90"/>
      <c r="X23" s="90">
        <v>100.325</v>
      </c>
      <c r="Y23" s="90"/>
      <c r="Z23" s="90"/>
      <c r="AA23" s="90"/>
      <c r="AB23" s="90"/>
    </row>
  </sheetData>
  <autoFilter ref="A2:AA23">
    <extLst/>
  </autoFilter>
  <mergeCells count="3">
    <mergeCell ref="A1:E1"/>
    <mergeCell ref="G1:H1"/>
    <mergeCell ref="A3:B3"/>
  </mergeCells>
  <pageMargins left="0.75" right="0.75" top="1" bottom="1" header="0.5" footer="0.5"/>
  <pageSetup paperSize="9" scale="5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opLeftCell="A4" workbookViewId="0">
      <selection activeCell="E18" sqref="E18"/>
    </sheetView>
  </sheetViews>
  <sheetFormatPr defaultColWidth="9" defaultRowHeight="13.5" outlineLevelCol="7"/>
  <cols>
    <col min="1" max="1" width="7" style="71" customWidth="1"/>
    <col min="2" max="2" width="24" style="72" customWidth="1"/>
    <col min="3" max="3" width="16.125" style="71" customWidth="1"/>
    <col min="4" max="5" width="16.625" style="71" customWidth="1"/>
    <col min="6" max="6" width="17.875" style="71" customWidth="1"/>
    <col min="7" max="7" width="11.625" style="71" customWidth="1"/>
    <col min="8" max="8" width="7.5" style="71" customWidth="1"/>
    <col min="9" max="9" width="12.625" style="71"/>
    <col min="10" max="16384" width="9" style="71"/>
  </cols>
  <sheetData>
    <row r="1" s="71" customFormat="1" ht="27" customHeight="1" spans="1:2">
      <c r="A1" s="73" t="s">
        <v>69</v>
      </c>
      <c r="B1" s="72"/>
    </row>
    <row r="2" s="71" customFormat="1" ht="35" customHeight="1" spans="1:8">
      <c r="A2" s="74" t="s">
        <v>70</v>
      </c>
      <c r="B2" s="74"/>
      <c r="C2" s="74"/>
      <c r="D2" s="74"/>
      <c r="E2" s="74"/>
      <c r="F2" s="74"/>
      <c r="G2" s="74"/>
      <c r="H2" s="74"/>
    </row>
    <row r="3" s="71" customFormat="1" ht="54" customHeight="1" spans="1:8">
      <c r="A3" s="75" t="s">
        <v>23</v>
      </c>
      <c r="B3" s="76" t="s">
        <v>71</v>
      </c>
      <c r="C3" s="76" t="s">
        <v>72</v>
      </c>
      <c r="D3" s="76" t="s">
        <v>73</v>
      </c>
      <c r="E3" s="76" t="s">
        <v>74</v>
      </c>
      <c r="F3" s="76" t="s">
        <v>75</v>
      </c>
      <c r="G3" s="76" t="s">
        <v>76</v>
      </c>
      <c r="H3" s="76" t="s">
        <v>77</v>
      </c>
    </row>
    <row r="4" s="71" customFormat="1" ht="19" customHeight="1" spans="1:8">
      <c r="A4" s="75"/>
      <c r="B4" s="76" t="s">
        <v>78</v>
      </c>
      <c r="C4" s="76">
        <f t="shared" ref="C4:F4" si="0">SUM(C5:C19)</f>
        <v>64027</v>
      </c>
      <c r="D4" s="76">
        <f t="shared" si="0"/>
        <v>61431.862378</v>
      </c>
      <c r="E4" s="76">
        <f t="shared" si="0"/>
        <v>1052.891704</v>
      </c>
      <c r="F4" s="76">
        <f t="shared" si="0"/>
        <v>2595.137622</v>
      </c>
      <c r="G4" s="77">
        <f>D4/C4</f>
        <v>0.959468074062505</v>
      </c>
      <c r="H4" s="75"/>
    </row>
    <row r="5" s="71" customFormat="1" ht="19" customHeight="1" spans="1:8">
      <c r="A5" s="75">
        <v>1</v>
      </c>
      <c r="B5" s="76" t="s">
        <v>79</v>
      </c>
      <c r="C5" s="75">
        <v>2437.396823</v>
      </c>
      <c r="D5" s="76">
        <v>2437.396823</v>
      </c>
      <c r="E5" s="76"/>
      <c r="F5" s="76">
        <f>C5-D5</f>
        <v>0</v>
      </c>
      <c r="G5" s="77">
        <v>1</v>
      </c>
      <c r="H5" s="75">
        <v>1</v>
      </c>
    </row>
    <row r="6" s="71" customFormat="1" ht="19" customHeight="1" spans="1:8">
      <c r="A6" s="75">
        <v>2</v>
      </c>
      <c r="B6" s="76" t="s">
        <v>66</v>
      </c>
      <c r="C6" s="75">
        <v>3400</v>
      </c>
      <c r="D6" s="78">
        <v>3400</v>
      </c>
      <c r="E6" s="78"/>
      <c r="F6" s="76">
        <f t="shared" ref="F6:F19" si="1">C6-D6</f>
        <v>0</v>
      </c>
      <c r="G6" s="77">
        <v>1</v>
      </c>
      <c r="H6" s="75">
        <v>1</v>
      </c>
    </row>
    <row r="7" s="71" customFormat="1" ht="19" customHeight="1" spans="1:8">
      <c r="A7" s="75">
        <v>3</v>
      </c>
      <c r="B7" s="76" t="s">
        <v>80</v>
      </c>
      <c r="C7" s="75">
        <v>1000</v>
      </c>
      <c r="D7" s="76">
        <v>1000</v>
      </c>
      <c r="E7" s="76"/>
      <c r="F7" s="76">
        <f t="shared" si="1"/>
        <v>0</v>
      </c>
      <c r="G7" s="77">
        <v>1</v>
      </c>
      <c r="H7" s="75">
        <v>1</v>
      </c>
    </row>
    <row r="8" s="71" customFormat="1" ht="19" customHeight="1" spans="1:8">
      <c r="A8" s="75">
        <v>4</v>
      </c>
      <c r="B8" s="76" t="s">
        <v>81</v>
      </c>
      <c r="C8" s="75">
        <v>16.81963</v>
      </c>
      <c r="D8" s="76">
        <v>16.81963</v>
      </c>
      <c r="E8" s="76"/>
      <c r="F8" s="76">
        <f t="shared" si="1"/>
        <v>0</v>
      </c>
      <c r="G8" s="77">
        <v>1</v>
      </c>
      <c r="H8" s="75">
        <v>1</v>
      </c>
    </row>
    <row r="9" s="71" customFormat="1" ht="19" customHeight="1" spans="1:8">
      <c r="A9" s="75">
        <v>5</v>
      </c>
      <c r="B9" s="76" t="s">
        <v>59</v>
      </c>
      <c r="C9" s="75">
        <v>606.3838</v>
      </c>
      <c r="D9" s="76">
        <v>606.3838</v>
      </c>
      <c r="E9" s="76"/>
      <c r="F9" s="76">
        <f t="shared" si="1"/>
        <v>0</v>
      </c>
      <c r="G9" s="77">
        <v>1</v>
      </c>
      <c r="H9" s="75">
        <v>1</v>
      </c>
    </row>
    <row r="10" s="71" customFormat="1" ht="19" customHeight="1" spans="1:8">
      <c r="A10" s="75">
        <v>6</v>
      </c>
      <c r="B10" s="76" t="s">
        <v>82</v>
      </c>
      <c r="C10" s="75">
        <v>1609.965</v>
      </c>
      <c r="D10" s="76">
        <v>1609.965</v>
      </c>
      <c r="E10" s="76"/>
      <c r="F10" s="76">
        <f t="shared" si="1"/>
        <v>0</v>
      </c>
      <c r="G10" s="77">
        <v>1</v>
      </c>
      <c r="H10" s="75">
        <v>1</v>
      </c>
    </row>
    <row r="11" s="71" customFormat="1" ht="19" customHeight="1" spans="1:8">
      <c r="A11" s="75">
        <v>7</v>
      </c>
      <c r="B11" s="76" t="s">
        <v>83</v>
      </c>
      <c r="C11" s="75">
        <v>200</v>
      </c>
      <c r="D11" s="76">
        <v>200</v>
      </c>
      <c r="E11" s="76"/>
      <c r="F11" s="76">
        <f t="shared" si="1"/>
        <v>0</v>
      </c>
      <c r="G11" s="77">
        <v>1</v>
      </c>
      <c r="H11" s="75">
        <v>1</v>
      </c>
    </row>
    <row r="12" s="71" customFormat="1" ht="19" customHeight="1" spans="1:8">
      <c r="A12" s="75">
        <v>8</v>
      </c>
      <c r="B12" s="76" t="s">
        <v>84</v>
      </c>
      <c r="C12" s="75">
        <v>300</v>
      </c>
      <c r="D12" s="76">
        <v>300</v>
      </c>
      <c r="E12" s="75"/>
      <c r="F12" s="76">
        <f t="shared" si="1"/>
        <v>0</v>
      </c>
      <c r="G12" s="77">
        <f t="shared" ref="G12:G19" si="2">D12/C12</f>
        <v>1</v>
      </c>
      <c r="H12" s="75">
        <v>1</v>
      </c>
    </row>
    <row r="13" s="71" customFormat="1" ht="19" customHeight="1" spans="1:8">
      <c r="A13" s="75">
        <v>9</v>
      </c>
      <c r="B13" s="76" t="s">
        <v>85</v>
      </c>
      <c r="C13" s="75">
        <v>4445.659254</v>
      </c>
      <c r="D13" s="75">
        <v>4445.659254</v>
      </c>
      <c r="E13" s="75"/>
      <c r="F13" s="76">
        <f t="shared" si="1"/>
        <v>0</v>
      </c>
      <c r="G13" s="77">
        <f t="shared" si="2"/>
        <v>1</v>
      </c>
      <c r="H13" s="75">
        <v>1</v>
      </c>
    </row>
    <row r="14" s="71" customFormat="1" ht="19" customHeight="1" spans="1:8">
      <c r="A14" s="75">
        <v>10</v>
      </c>
      <c r="B14" s="76" t="s">
        <v>86</v>
      </c>
      <c r="C14" s="75">
        <v>10712.775119</v>
      </c>
      <c r="D14" s="75">
        <v>10712.775119</v>
      </c>
      <c r="E14" s="76"/>
      <c r="F14" s="76">
        <f t="shared" si="1"/>
        <v>0</v>
      </c>
      <c r="G14" s="77">
        <f t="shared" si="2"/>
        <v>1</v>
      </c>
      <c r="H14" s="75">
        <v>1</v>
      </c>
    </row>
    <row r="15" s="71" customFormat="1" ht="19" customHeight="1" spans="1:8">
      <c r="A15" s="75">
        <v>11</v>
      </c>
      <c r="B15" s="76" t="s">
        <v>87</v>
      </c>
      <c r="C15" s="75">
        <v>2000</v>
      </c>
      <c r="D15" s="75">
        <v>2000</v>
      </c>
      <c r="E15" s="75">
        <v>0</v>
      </c>
      <c r="F15" s="76">
        <f t="shared" si="1"/>
        <v>0</v>
      </c>
      <c r="G15" s="77">
        <f t="shared" si="2"/>
        <v>1</v>
      </c>
      <c r="H15" s="75">
        <v>1</v>
      </c>
    </row>
    <row r="16" s="71" customFormat="1" ht="19" customHeight="1" spans="1:8">
      <c r="A16" s="75">
        <v>12</v>
      </c>
      <c r="B16" s="76" t="s">
        <v>60</v>
      </c>
      <c r="C16" s="75">
        <v>204.97349</v>
      </c>
      <c r="D16" s="76">
        <f>141.47549+63.498</f>
        <v>204.97349</v>
      </c>
      <c r="E16" s="79">
        <v>0</v>
      </c>
      <c r="F16" s="76">
        <f t="shared" si="1"/>
        <v>0</v>
      </c>
      <c r="G16" s="77">
        <f t="shared" si="2"/>
        <v>1</v>
      </c>
      <c r="H16" s="75">
        <v>1</v>
      </c>
    </row>
    <row r="17" s="71" customFormat="1" ht="19" customHeight="1" spans="1:8">
      <c r="A17" s="75">
        <v>13</v>
      </c>
      <c r="B17" s="76" t="s">
        <v>58</v>
      </c>
      <c r="C17" s="75">
        <v>580.258</v>
      </c>
      <c r="D17" s="75">
        <v>578.242388</v>
      </c>
      <c r="E17" s="79">
        <v>2.015612</v>
      </c>
      <c r="F17" s="76">
        <f t="shared" si="1"/>
        <v>2.01561200000003</v>
      </c>
      <c r="G17" s="77">
        <f t="shared" si="2"/>
        <v>0.996526352070975</v>
      </c>
      <c r="H17" s="75">
        <v>2</v>
      </c>
    </row>
    <row r="18" s="71" customFormat="1" ht="19" customHeight="1" spans="1:8">
      <c r="A18" s="75">
        <v>14</v>
      </c>
      <c r="B18" s="76" t="s">
        <v>88</v>
      </c>
      <c r="C18" s="80">
        <v>28212.768884</v>
      </c>
      <c r="D18" s="81">
        <f>C18-F18</f>
        <v>27032.467984</v>
      </c>
      <c r="E18" s="79">
        <v>687.7809</v>
      </c>
      <c r="F18" s="76">
        <v>1180.3009</v>
      </c>
      <c r="G18" s="77">
        <f t="shared" si="2"/>
        <v>0.958164301247675</v>
      </c>
      <c r="H18" s="75">
        <v>3</v>
      </c>
    </row>
    <row r="19" s="71" customFormat="1" ht="19" customHeight="1" spans="1:8">
      <c r="A19" s="75">
        <v>15</v>
      </c>
      <c r="B19" s="76" t="s">
        <v>67</v>
      </c>
      <c r="C19" s="75">
        <v>8300</v>
      </c>
      <c r="D19" s="76">
        <f>6866.49195+13.637371+7.049569</f>
        <v>6887.17889</v>
      </c>
      <c r="E19" s="79">
        <v>363.095192</v>
      </c>
      <c r="F19" s="76">
        <f>C19-D19</f>
        <v>1412.82111</v>
      </c>
      <c r="G19" s="77">
        <f t="shared" si="2"/>
        <v>0.829780589156626</v>
      </c>
      <c r="H19" s="75">
        <v>4</v>
      </c>
    </row>
  </sheetData>
  <sortState ref="B5:G19">
    <sortCondition ref="G5:G19" descending="1"/>
  </sortState>
  <mergeCells count="1">
    <mergeCell ref="A2:H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1"/>
  <sheetViews>
    <sheetView view="pageBreakPreview" zoomScale="90" zoomScaleNormal="90" workbookViewId="0">
      <pane xSplit="2" ySplit="2" topLeftCell="C3" activePane="bottomRight" state="frozen"/>
      <selection/>
      <selection pane="topRight"/>
      <selection pane="bottomLeft"/>
      <selection pane="bottomRight" activeCell="K3" sqref="K3:L3"/>
    </sheetView>
  </sheetViews>
  <sheetFormatPr defaultColWidth="9" defaultRowHeight="38" customHeight="1"/>
  <cols>
    <col min="1" max="1" width="4.25" style="27" customWidth="1"/>
    <col min="2" max="3" width="6.25" style="32" customWidth="1"/>
    <col min="4" max="4" width="11.5" style="32" customWidth="1"/>
    <col min="5" max="5" width="7.25" style="32" customWidth="1"/>
    <col min="6" max="6" width="11.125" style="32" customWidth="1"/>
    <col min="7" max="8" width="11" style="33" customWidth="1"/>
    <col min="9" max="9" width="64.5" style="32" customWidth="1"/>
    <col min="10" max="10" width="13.375" style="34" customWidth="1"/>
    <col min="11" max="11" width="12.5" style="35" customWidth="1"/>
    <col min="12" max="12" width="11.25" style="34" customWidth="1"/>
    <col min="13" max="13" width="11.5" style="27"/>
    <col min="14" max="16384" width="9" style="27"/>
  </cols>
  <sheetData>
    <row r="1" s="26" customFormat="1" ht="34" customHeight="1" spans="1:12">
      <c r="A1" s="36" t="s">
        <v>89</v>
      </c>
      <c r="B1" s="37"/>
      <c r="C1" s="37"/>
      <c r="D1" s="37"/>
      <c r="E1" s="37"/>
      <c r="F1" s="37"/>
      <c r="G1" s="38"/>
      <c r="H1" s="38"/>
      <c r="I1" s="37"/>
      <c r="J1" s="52"/>
      <c r="K1" s="52"/>
      <c r="L1" s="52"/>
    </row>
    <row r="2" ht="50" customHeight="1" spans="1:12">
      <c r="A2" s="39" t="s">
        <v>23</v>
      </c>
      <c r="B2" s="40" t="s">
        <v>90</v>
      </c>
      <c r="C2" s="40" t="s">
        <v>91</v>
      </c>
      <c r="D2" s="40" t="s">
        <v>92</v>
      </c>
      <c r="E2" s="41" t="s">
        <v>93</v>
      </c>
      <c r="F2" s="41" t="s">
        <v>71</v>
      </c>
      <c r="G2" s="42" t="s">
        <v>94</v>
      </c>
      <c r="H2" s="42" t="s">
        <v>95</v>
      </c>
      <c r="I2" s="41" t="s">
        <v>96</v>
      </c>
      <c r="J2" s="42" t="s">
        <v>97</v>
      </c>
      <c r="K2" s="42" t="s">
        <v>98</v>
      </c>
      <c r="L2" s="42" t="s">
        <v>99</v>
      </c>
    </row>
    <row r="3" s="27" customFormat="1" customHeight="1" spans="1:12">
      <c r="A3" s="39"/>
      <c r="B3" s="40"/>
      <c r="C3" s="40"/>
      <c r="D3" s="40"/>
      <c r="E3" s="41"/>
      <c r="F3" s="41"/>
      <c r="G3" s="42">
        <f>SUM(G4:G221)</f>
        <v>103971</v>
      </c>
      <c r="H3" s="42"/>
      <c r="I3" s="41"/>
      <c r="J3" s="42">
        <f>SUM(J4:J221)</f>
        <v>103971</v>
      </c>
      <c r="K3" s="42">
        <f>SUM(K4:K221)</f>
        <v>75032.468458</v>
      </c>
      <c r="L3" s="42">
        <f>SUM(L4:L221)</f>
        <v>25277.450833</v>
      </c>
    </row>
    <row r="4" s="28" customFormat="1" customHeight="1" spans="1:12">
      <c r="A4" s="43">
        <v>1</v>
      </c>
      <c r="B4" s="44" t="s">
        <v>100</v>
      </c>
      <c r="C4" s="44" t="s">
        <v>101</v>
      </c>
      <c r="D4" s="44" t="s">
        <v>102</v>
      </c>
      <c r="E4" s="44" t="s">
        <v>103</v>
      </c>
      <c r="F4" s="44" t="s">
        <v>49</v>
      </c>
      <c r="G4" s="45">
        <v>7534.772601</v>
      </c>
      <c r="H4" s="45" t="s">
        <v>104</v>
      </c>
      <c r="I4" s="47" t="s">
        <v>105</v>
      </c>
      <c r="J4" s="48">
        <v>378.828396</v>
      </c>
      <c r="K4" s="48">
        <v>378.828396</v>
      </c>
      <c r="L4" s="48">
        <f>J4-K4</f>
        <v>0</v>
      </c>
    </row>
    <row r="5" s="28" customFormat="1" customHeight="1" spans="1:12">
      <c r="A5" s="43"/>
      <c r="B5" s="44"/>
      <c r="C5" s="44"/>
      <c r="D5" s="44"/>
      <c r="E5" s="44"/>
      <c r="F5" s="44"/>
      <c r="G5" s="45"/>
      <c r="H5" s="45" t="s">
        <v>106</v>
      </c>
      <c r="I5" s="47" t="s">
        <v>107</v>
      </c>
      <c r="J5" s="48">
        <v>5392.21903</v>
      </c>
      <c r="K5" s="48">
        <v>5392.21903</v>
      </c>
      <c r="L5" s="48">
        <f t="shared" ref="L5:L36" si="0">J5-K5</f>
        <v>0</v>
      </c>
    </row>
    <row r="6" s="28" customFormat="1" customHeight="1" spans="1:12">
      <c r="A6" s="43"/>
      <c r="B6" s="44"/>
      <c r="C6" s="44"/>
      <c r="D6" s="44"/>
      <c r="E6" s="44"/>
      <c r="F6" s="44"/>
      <c r="G6" s="45"/>
      <c r="H6" s="45" t="s">
        <v>108</v>
      </c>
      <c r="I6" s="47" t="s">
        <v>109</v>
      </c>
      <c r="J6" s="48">
        <v>116.784</v>
      </c>
      <c r="K6" s="48">
        <v>116.784</v>
      </c>
      <c r="L6" s="48">
        <f t="shared" si="0"/>
        <v>0</v>
      </c>
    </row>
    <row r="7" s="28" customFormat="1" customHeight="1" spans="1:12">
      <c r="A7" s="43"/>
      <c r="B7" s="44"/>
      <c r="C7" s="44"/>
      <c r="D7" s="44"/>
      <c r="E7" s="44"/>
      <c r="F7" s="44"/>
      <c r="G7" s="45"/>
      <c r="H7" s="45" t="s">
        <v>108</v>
      </c>
      <c r="I7" s="50" t="s">
        <v>110</v>
      </c>
      <c r="J7" s="46">
        <v>328.9015</v>
      </c>
      <c r="K7" s="46">
        <v>328.9015</v>
      </c>
      <c r="L7" s="48">
        <f t="shared" si="0"/>
        <v>0</v>
      </c>
    </row>
    <row r="8" s="28" customFormat="1" customHeight="1" spans="1:12">
      <c r="A8" s="43"/>
      <c r="B8" s="44"/>
      <c r="C8" s="44"/>
      <c r="D8" s="44"/>
      <c r="E8" s="44"/>
      <c r="F8" s="44"/>
      <c r="G8" s="45"/>
      <c r="H8" s="45" t="s">
        <v>108</v>
      </c>
      <c r="I8" s="50" t="s">
        <v>111</v>
      </c>
      <c r="J8" s="46">
        <v>0.582058</v>
      </c>
      <c r="K8" s="46">
        <v>0.582058</v>
      </c>
      <c r="L8" s="48">
        <f t="shared" si="0"/>
        <v>0</v>
      </c>
    </row>
    <row r="9" s="28" customFormat="1" customHeight="1" spans="1:12">
      <c r="A9" s="43"/>
      <c r="B9" s="44"/>
      <c r="C9" s="44"/>
      <c r="D9" s="44"/>
      <c r="E9" s="44"/>
      <c r="F9" s="44"/>
      <c r="G9" s="45"/>
      <c r="H9" s="45" t="s">
        <v>108</v>
      </c>
      <c r="I9" s="50" t="s">
        <v>112</v>
      </c>
      <c r="J9" s="46">
        <f>1318.039675-0.582058</f>
        <v>1317.457617</v>
      </c>
      <c r="K9" s="46">
        <v>1317.457617</v>
      </c>
      <c r="L9" s="48">
        <f t="shared" si="0"/>
        <v>0</v>
      </c>
    </row>
    <row r="10" s="28" customFormat="1" customHeight="1" spans="1:12">
      <c r="A10" s="43"/>
      <c r="B10" s="44"/>
      <c r="C10" s="44"/>
      <c r="D10" s="44"/>
      <c r="E10" s="44"/>
      <c r="F10" s="44" t="s">
        <v>51</v>
      </c>
      <c r="G10" s="46">
        <v>136.221497</v>
      </c>
      <c r="H10" s="45" t="s">
        <v>106</v>
      </c>
      <c r="I10" s="50" t="s">
        <v>113</v>
      </c>
      <c r="J10" s="46">
        <v>136.221497</v>
      </c>
      <c r="K10" s="46">
        <v>136.221497</v>
      </c>
      <c r="L10" s="48">
        <f t="shared" si="0"/>
        <v>0</v>
      </c>
    </row>
    <row r="11" s="28" customFormat="1" customHeight="1" spans="1:12">
      <c r="A11" s="43"/>
      <c r="B11" s="44"/>
      <c r="C11" s="44"/>
      <c r="D11" s="44"/>
      <c r="E11" s="44"/>
      <c r="F11" s="44" t="s">
        <v>50</v>
      </c>
      <c r="G11" s="45">
        <v>829.005902</v>
      </c>
      <c r="H11" s="45" t="s">
        <v>106</v>
      </c>
      <c r="I11" s="50" t="s">
        <v>114</v>
      </c>
      <c r="J11" s="46">
        <v>229.005902</v>
      </c>
      <c r="K11" s="46">
        <v>229.005902</v>
      </c>
      <c r="L11" s="48">
        <f t="shared" si="0"/>
        <v>0</v>
      </c>
    </row>
    <row r="12" s="28" customFormat="1" customHeight="1" spans="1:12">
      <c r="A12" s="43"/>
      <c r="B12" s="44"/>
      <c r="C12" s="44"/>
      <c r="D12" s="44"/>
      <c r="E12" s="44"/>
      <c r="F12" s="44"/>
      <c r="G12" s="45"/>
      <c r="H12" s="45" t="s">
        <v>106</v>
      </c>
      <c r="I12" s="50" t="s">
        <v>115</v>
      </c>
      <c r="J12" s="46">
        <v>600</v>
      </c>
      <c r="K12" s="46">
        <v>600</v>
      </c>
      <c r="L12" s="48">
        <f t="shared" si="0"/>
        <v>0</v>
      </c>
    </row>
    <row r="13" s="28" customFormat="1" customHeight="1" spans="1:12">
      <c r="A13" s="43">
        <v>2</v>
      </c>
      <c r="B13" s="44" t="s">
        <v>116</v>
      </c>
      <c r="C13" s="44" t="s">
        <v>101</v>
      </c>
      <c r="D13" s="44" t="s">
        <v>117</v>
      </c>
      <c r="E13" s="44" t="s">
        <v>118</v>
      </c>
      <c r="F13" s="44" t="s">
        <v>51</v>
      </c>
      <c r="G13" s="45">
        <v>1500</v>
      </c>
      <c r="H13" s="45" t="s">
        <v>108</v>
      </c>
      <c r="I13" s="50" t="s">
        <v>119</v>
      </c>
      <c r="J13" s="46">
        <f>245.7+6.080766</f>
        <v>251.780766</v>
      </c>
      <c r="K13" s="46">
        <f>245.7+6.080766</f>
        <v>251.780766</v>
      </c>
      <c r="L13" s="48">
        <f t="shared" si="0"/>
        <v>0</v>
      </c>
    </row>
    <row r="14" s="28" customFormat="1" customHeight="1" spans="1:12">
      <c r="A14" s="43"/>
      <c r="B14" s="44"/>
      <c r="C14" s="44"/>
      <c r="D14" s="44"/>
      <c r="E14" s="44"/>
      <c r="F14" s="44"/>
      <c r="G14" s="45"/>
      <c r="H14" s="45" t="s">
        <v>108</v>
      </c>
      <c r="I14" s="50" t="s">
        <v>120</v>
      </c>
      <c r="J14" s="46">
        <f>352.477504-0.000009</f>
        <v>352.477495</v>
      </c>
      <c r="K14" s="46">
        <f>334.712305+8.2612+9.50399</f>
        <v>352.477495</v>
      </c>
      <c r="L14" s="48">
        <f t="shared" si="0"/>
        <v>0</v>
      </c>
    </row>
    <row r="15" s="28" customFormat="1" customHeight="1" spans="1:12">
      <c r="A15" s="43"/>
      <c r="B15" s="44"/>
      <c r="C15" s="44"/>
      <c r="D15" s="44"/>
      <c r="E15" s="44"/>
      <c r="F15" s="44"/>
      <c r="G15" s="45"/>
      <c r="H15" s="45" t="s">
        <v>108</v>
      </c>
      <c r="I15" s="50" t="s">
        <v>121</v>
      </c>
      <c r="J15" s="46">
        <v>74.8545</v>
      </c>
      <c r="K15" s="46">
        <v>74.8545</v>
      </c>
      <c r="L15" s="48">
        <f t="shared" si="0"/>
        <v>0</v>
      </c>
    </row>
    <row r="16" s="28" customFormat="1" customHeight="1" spans="1:12">
      <c r="A16" s="43"/>
      <c r="B16" s="44"/>
      <c r="C16" s="44"/>
      <c r="D16" s="44"/>
      <c r="E16" s="44"/>
      <c r="F16" s="44"/>
      <c r="G16" s="45"/>
      <c r="H16" s="45" t="s">
        <v>108</v>
      </c>
      <c r="I16" s="50" t="s">
        <v>122</v>
      </c>
      <c r="J16" s="46">
        <v>349.91</v>
      </c>
      <c r="K16" s="46">
        <v>349.91</v>
      </c>
      <c r="L16" s="48">
        <f t="shared" si="0"/>
        <v>0</v>
      </c>
    </row>
    <row r="17" s="28" customFormat="1" customHeight="1" spans="1:12">
      <c r="A17" s="43"/>
      <c r="B17" s="44"/>
      <c r="C17" s="44"/>
      <c r="D17" s="44"/>
      <c r="E17" s="44"/>
      <c r="F17" s="44"/>
      <c r="G17" s="45"/>
      <c r="H17" s="45" t="s">
        <v>106</v>
      </c>
      <c r="I17" s="50" t="s">
        <v>113</v>
      </c>
      <c r="J17" s="46">
        <v>142.28</v>
      </c>
      <c r="K17" s="46">
        <v>142.28</v>
      </c>
      <c r="L17" s="48">
        <f t="shared" si="0"/>
        <v>0</v>
      </c>
    </row>
    <row r="18" s="28" customFormat="1" customHeight="1" spans="1:12">
      <c r="A18" s="43"/>
      <c r="B18" s="44"/>
      <c r="C18" s="44"/>
      <c r="D18" s="44"/>
      <c r="E18" s="44"/>
      <c r="F18" s="44"/>
      <c r="G18" s="45"/>
      <c r="H18" s="45" t="s">
        <v>108</v>
      </c>
      <c r="I18" s="50" t="s">
        <v>123</v>
      </c>
      <c r="J18" s="46">
        <v>259.45972</v>
      </c>
      <c r="K18" s="46">
        <f>239.208048+5.786192+14.46548</f>
        <v>259.45972</v>
      </c>
      <c r="L18" s="48">
        <f t="shared" si="0"/>
        <v>0</v>
      </c>
    </row>
    <row r="19" s="28" customFormat="1" customHeight="1" spans="1:12">
      <c r="A19" s="43"/>
      <c r="B19" s="44"/>
      <c r="C19" s="44"/>
      <c r="D19" s="44"/>
      <c r="E19" s="44"/>
      <c r="F19" s="44"/>
      <c r="G19" s="45"/>
      <c r="H19" s="45" t="s">
        <v>106</v>
      </c>
      <c r="I19" s="50" t="s">
        <v>124</v>
      </c>
      <c r="J19" s="46">
        <f>48.33+20.907519</f>
        <v>69.237519</v>
      </c>
      <c r="K19" s="46">
        <f>48.33+20.907519</f>
        <v>69.237519</v>
      </c>
      <c r="L19" s="48">
        <f t="shared" si="0"/>
        <v>0</v>
      </c>
    </row>
    <row r="20" s="28" customFormat="1" customHeight="1" spans="1:12">
      <c r="A20" s="43"/>
      <c r="B20" s="44"/>
      <c r="C20" s="44"/>
      <c r="D20" s="44"/>
      <c r="E20" s="44"/>
      <c r="F20" s="44" t="s">
        <v>52</v>
      </c>
      <c r="G20" s="45">
        <v>200</v>
      </c>
      <c r="H20" s="45" t="s">
        <v>106</v>
      </c>
      <c r="I20" s="50" t="s">
        <v>125</v>
      </c>
      <c r="J20" s="46">
        <v>178</v>
      </c>
      <c r="K20" s="46">
        <v>178</v>
      </c>
      <c r="L20" s="48">
        <f t="shared" si="0"/>
        <v>0</v>
      </c>
    </row>
    <row r="21" s="28" customFormat="1" customHeight="1" spans="1:12">
      <c r="A21" s="43"/>
      <c r="B21" s="44"/>
      <c r="C21" s="44"/>
      <c r="D21" s="44"/>
      <c r="E21" s="44"/>
      <c r="F21" s="44"/>
      <c r="G21" s="45"/>
      <c r="H21" s="45" t="s">
        <v>106</v>
      </c>
      <c r="I21" s="50" t="s">
        <v>126</v>
      </c>
      <c r="J21" s="46">
        <v>22</v>
      </c>
      <c r="K21" s="46">
        <f>9.483+12.517</f>
        <v>22</v>
      </c>
      <c r="L21" s="48">
        <f t="shared" si="0"/>
        <v>0</v>
      </c>
    </row>
    <row r="22" s="28" customFormat="1" customHeight="1" spans="1:12">
      <c r="A22" s="43"/>
      <c r="B22" s="44"/>
      <c r="C22" s="44"/>
      <c r="D22" s="44"/>
      <c r="E22" s="44"/>
      <c r="F22" s="44" t="s">
        <v>66</v>
      </c>
      <c r="G22" s="45">
        <v>600</v>
      </c>
      <c r="H22" s="45" t="s">
        <v>108</v>
      </c>
      <c r="I22" s="50" t="s">
        <v>127</v>
      </c>
      <c r="J22" s="46">
        <v>200</v>
      </c>
      <c r="K22" s="46">
        <v>200</v>
      </c>
      <c r="L22" s="48">
        <f t="shared" si="0"/>
        <v>0</v>
      </c>
    </row>
    <row r="23" s="28" customFormat="1" customHeight="1" spans="1:12">
      <c r="A23" s="43"/>
      <c r="B23" s="44"/>
      <c r="C23" s="44"/>
      <c r="D23" s="44"/>
      <c r="E23" s="44"/>
      <c r="F23" s="44"/>
      <c r="G23" s="45"/>
      <c r="H23" s="45" t="s">
        <v>106</v>
      </c>
      <c r="I23" s="50" t="s">
        <v>128</v>
      </c>
      <c r="J23" s="46">
        <v>400</v>
      </c>
      <c r="K23" s="46">
        <v>400</v>
      </c>
      <c r="L23" s="48">
        <f t="shared" si="0"/>
        <v>0</v>
      </c>
    </row>
    <row r="24" s="28" customFormat="1" customHeight="1" spans="1:12">
      <c r="A24" s="43">
        <v>3</v>
      </c>
      <c r="B24" s="44" t="s">
        <v>116</v>
      </c>
      <c r="C24" s="44" t="s">
        <v>101</v>
      </c>
      <c r="D24" s="44" t="s">
        <v>129</v>
      </c>
      <c r="E24" s="44" t="s">
        <v>130</v>
      </c>
      <c r="F24" s="47" t="s">
        <v>50</v>
      </c>
      <c r="G24" s="45">
        <v>2000</v>
      </c>
      <c r="H24" s="45" t="s">
        <v>106</v>
      </c>
      <c r="I24" s="53" t="s">
        <v>131</v>
      </c>
      <c r="J24" s="48">
        <v>221.285922</v>
      </c>
      <c r="K24" s="48">
        <v>221.285922</v>
      </c>
      <c r="L24" s="48">
        <f t="shared" si="0"/>
        <v>0</v>
      </c>
    </row>
    <row r="25" s="28" customFormat="1" customHeight="1" spans="1:12">
      <c r="A25" s="43"/>
      <c r="B25" s="44"/>
      <c r="C25" s="44"/>
      <c r="D25" s="44"/>
      <c r="E25" s="44"/>
      <c r="F25" s="47"/>
      <c r="G25" s="45"/>
      <c r="H25" s="45" t="s">
        <v>106</v>
      </c>
      <c r="I25" s="53" t="s">
        <v>132</v>
      </c>
      <c r="J25" s="48">
        <f>1076.32+2.394078</f>
        <v>1078.714078</v>
      </c>
      <c r="K25" s="48">
        <f>705.0952+214.984816+156.239984+2.394078</f>
        <v>1078.714078</v>
      </c>
      <c r="L25" s="48">
        <f t="shared" si="0"/>
        <v>0</v>
      </c>
    </row>
    <row r="26" s="28" customFormat="1" customHeight="1" spans="1:12">
      <c r="A26" s="43"/>
      <c r="B26" s="44"/>
      <c r="C26" s="44"/>
      <c r="D26" s="44"/>
      <c r="E26" s="44"/>
      <c r="F26" s="47"/>
      <c r="G26" s="45"/>
      <c r="H26" s="45" t="s">
        <v>106</v>
      </c>
      <c r="I26" s="53" t="s">
        <v>133</v>
      </c>
      <c r="J26" s="48">
        <v>20</v>
      </c>
      <c r="K26" s="48">
        <v>20</v>
      </c>
      <c r="L26" s="48">
        <f t="shared" si="0"/>
        <v>0</v>
      </c>
    </row>
    <row r="27" s="28" customFormat="1" customHeight="1" spans="1:12">
      <c r="A27" s="43"/>
      <c r="B27" s="44"/>
      <c r="C27" s="44"/>
      <c r="D27" s="44"/>
      <c r="E27" s="44"/>
      <c r="F27" s="47"/>
      <c r="G27" s="45"/>
      <c r="H27" s="45" t="s">
        <v>106</v>
      </c>
      <c r="I27" s="53" t="s">
        <v>134</v>
      </c>
      <c r="J27" s="48">
        <v>680</v>
      </c>
      <c r="K27" s="48">
        <v>680</v>
      </c>
      <c r="L27" s="48">
        <f t="shared" si="0"/>
        <v>0</v>
      </c>
    </row>
    <row r="28" s="28" customFormat="1" customHeight="1" spans="1:12">
      <c r="A28" s="43"/>
      <c r="B28" s="44"/>
      <c r="C28" s="44"/>
      <c r="D28" s="44"/>
      <c r="E28" s="44"/>
      <c r="F28" s="47" t="s">
        <v>135</v>
      </c>
      <c r="G28" s="48">
        <v>200</v>
      </c>
      <c r="H28" s="45" t="s">
        <v>106</v>
      </c>
      <c r="I28" s="53" t="s">
        <v>136</v>
      </c>
      <c r="J28" s="48">
        <v>200</v>
      </c>
      <c r="K28" s="48">
        <v>200</v>
      </c>
      <c r="L28" s="48">
        <f t="shared" si="0"/>
        <v>0</v>
      </c>
    </row>
    <row r="29" s="28" customFormat="1" customHeight="1" spans="1:12">
      <c r="A29" s="43"/>
      <c r="B29" s="44"/>
      <c r="C29" s="44"/>
      <c r="D29" s="44"/>
      <c r="E29" s="44"/>
      <c r="F29" s="47" t="s">
        <v>49</v>
      </c>
      <c r="G29" s="45">
        <v>3473</v>
      </c>
      <c r="H29" s="45" t="s">
        <v>137</v>
      </c>
      <c r="I29" s="54" t="s">
        <v>138</v>
      </c>
      <c r="J29" s="48">
        <v>59.8</v>
      </c>
      <c r="K29" s="48">
        <f>25+24.8+10</f>
        <v>59.8</v>
      </c>
      <c r="L29" s="48">
        <f t="shared" si="0"/>
        <v>0</v>
      </c>
    </row>
    <row r="30" s="28" customFormat="1" customHeight="1" spans="1:12">
      <c r="A30" s="43"/>
      <c r="B30" s="44"/>
      <c r="C30" s="44"/>
      <c r="D30" s="44"/>
      <c r="E30" s="44"/>
      <c r="F30" s="47"/>
      <c r="G30" s="45"/>
      <c r="H30" s="45" t="s">
        <v>106</v>
      </c>
      <c r="I30" s="54" t="s">
        <v>139</v>
      </c>
      <c r="J30" s="48">
        <f>3473-59.8</f>
        <v>3413.2</v>
      </c>
      <c r="K30" s="48">
        <f>1713.057802+108.052222+48.98+3.98+257.374832+326.295306+921.3-0.2+26.559838+7.8</f>
        <v>3413.2</v>
      </c>
      <c r="L30" s="48">
        <f t="shared" si="0"/>
        <v>0</v>
      </c>
    </row>
    <row r="31" s="28" customFormat="1" customHeight="1" spans="1:12">
      <c r="A31" s="43">
        <v>4</v>
      </c>
      <c r="B31" s="44" t="s">
        <v>116</v>
      </c>
      <c r="C31" s="44" t="s">
        <v>101</v>
      </c>
      <c r="D31" s="44" t="s">
        <v>140</v>
      </c>
      <c r="E31" s="44" t="s">
        <v>141</v>
      </c>
      <c r="F31" s="47" t="s">
        <v>49</v>
      </c>
      <c r="G31" s="45">
        <v>4527</v>
      </c>
      <c r="H31" s="45" t="s">
        <v>106</v>
      </c>
      <c r="I31" s="54" t="s">
        <v>107</v>
      </c>
      <c r="J31" s="48">
        <f>1027-213-89-16.5-7-24-642.57-34.068+900+100-220.258+0.17625</f>
        <v>780.78025</v>
      </c>
      <c r="K31" s="48">
        <f>763.201013+17.08022+0.165+0.334017</f>
        <v>780.78025</v>
      </c>
      <c r="L31" s="48">
        <f t="shared" si="0"/>
        <v>0</v>
      </c>
    </row>
    <row r="32" s="28" customFormat="1" customHeight="1" spans="1:12">
      <c r="A32" s="43"/>
      <c r="B32" s="44"/>
      <c r="C32" s="44"/>
      <c r="D32" s="44"/>
      <c r="E32" s="44"/>
      <c r="F32" s="47" t="s">
        <v>49</v>
      </c>
      <c r="G32" s="45"/>
      <c r="H32" s="45" t="s">
        <v>108</v>
      </c>
      <c r="I32" s="54" t="s">
        <v>142</v>
      </c>
      <c r="J32" s="48">
        <v>16.47</v>
      </c>
      <c r="K32" s="48">
        <v>16.47</v>
      </c>
      <c r="L32" s="48">
        <f t="shared" si="0"/>
        <v>0</v>
      </c>
    </row>
    <row r="33" s="28" customFormat="1" customHeight="1" spans="1:12">
      <c r="A33" s="43"/>
      <c r="B33" s="44"/>
      <c r="C33" s="44"/>
      <c r="D33" s="44"/>
      <c r="E33" s="44"/>
      <c r="F33" s="47" t="s">
        <v>49</v>
      </c>
      <c r="G33" s="45"/>
      <c r="H33" s="45" t="s">
        <v>137</v>
      </c>
      <c r="I33" s="54" t="s">
        <v>138</v>
      </c>
      <c r="J33" s="48">
        <v>7</v>
      </c>
      <c r="K33" s="48">
        <v>7</v>
      </c>
      <c r="L33" s="48">
        <f t="shared" si="0"/>
        <v>0</v>
      </c>
    </row>
    <row r="34" s="28" customFormat="1" customHeight="1" spans="1:12">
      <c r="A34" s="43"/>
      <c r="B34" s="44"/>
      <c r="C34" s="44"/>
      <c r="D34" s="44"/>
      <c r="E34" s="44"/>
      <c r="F34" s="47" t="s">
        <v>49</v>
      </c>
      <c r="G34" s="45"/>
      <c r="H34" s="45" t="s">
        <v>108</v>
      </c>
      <c r="I34" s="54" t="s">
        <v>143</v>
      </c>
      <c r="J34" s="48">
        <v>642.57</v>
      </c>
      <c r="K34" s="48">
        <v>642.57</v>
      </c>
      <c r="L34" s="48">
        <f t="shared" si="0"/>
        <v>0</v>
      </c>
    </row>
    <row r="35" s="28" customFormat="1" customHeight="1" spans="1:12">
      <c r="A35" s="43"/>
      <c r="B35" s="44"/>
      <c r="C35" s="44"/>
      <c r="D35" s="44"/>
      <c r="E35" s="44"/>
      <c r="F35" s="47" t="s">
        <v>49</v>
      </c>
      <c r="G35" s="45"/>
      <c r="H35" s="45" t="s">
        <v>106</v>
      </c>
      <c r="I35" s="54" t="s">
        <v>144</v>
      </c>
      <c r="J35" s="48">
        <v>24</v>
      </c>
      <c r="K35" s="48">
        <f>12+12</f>
        <v>24</v>
      </c>
      <c r="L35" s="48">
        <f t="shared" si="0"/>
        <v>0</v>
      </c>
    </row>
    <row r="36" s="28" customFormat="1" customHeight="1" spans="1:12">
      <c r="A36" s="43"/>
      <c r="B36" s="44"/>
      <c r="C36" s="44"/>
      <c r="D36" s="44"/>
      <c r="E36" s="44"/>
      <c r="F36" s="47" t="s">
        <v>49</v>
      </c>
      <c r="G36" s="45"/>
      <c r="H36" s="45" t="s">
        <v>104</v>
      </c>
      <c r="I36" s="54" t="s">
        <v>145</v>
      </c>
      <c r="J36" s="48">
        <f>89+34.068</f>
        <v>123.068</v>
      </c>
      <c r="K36" s="48">
        <v>123.068</v>
      </c>
      <c r="L36" s="48">
        <f t="shared" si="0"/>
        <v>0</v>
      </c>
    </row>
    <row r="37" s="28" customFormat="1" customHeight="1" spans="1:12">
      <c r="A37" s="43"/>
      <c r="B37" s="44"/>
      <c r="C37" s="44"/>
      <c r="D37" s="44"/>
      <c r="E37" s="44"/>
      <c r="F37" s="47" t="s">
        <v>63</v>
      </c>
      <c r="G37" s="45"/>
      <c r="H37" s="45" t="s">
        <v>104</v>
      </c>
      <c r="I37" s="47" t="s">
        <v>146</v>
      </c>
      <c r="J37" s="48">
        <v>213</v>
      </c>
      <c r="K37" s="48">
        <v>213</v>
      </c>
      <c r="L37" s="48">
        <f t="shared" ref="L37:L68" si="1">J37-K37</f>
        <v>0</v>
      </c>
    </row>
    <row r="38" s="28" customFormat="1" customHeight="1" spans="1:12">
      <c r="A38" s="43"/>
      <c r="B38" s="44"/>
      <c r="C38" s="44"/>
      <c r="D38" s="44"/>
      <c r="E38" s="44"/>
      <c r="F38" s="47" t="s">
        <v>58</v>
      </c>
      <c r="G38" s="45"/>
      <c r="H38" s="45" t="s">
        <v>147</v>
      </c>
      <c r="I38" s="53" t="s">
        <v>148</v>
      </c>
      <c r="J38" s="48">
        <v>220.258</v>
      </c>
      <c r="K38" s="48">
        <v>220.258</v>
      </c>
      <c r="L38" s="48">
        <f t="shared" si="1"/>
        <v>0</v>
      </c>
    </row>
    <row r="39" s="28" customFormat="1" customHeight="1" spans="1:12">
      <c r="A39" s="43"/>
      <c r="B39" s="44"/>
      <c r="C39" s="44"/>
      <c r="D39" s="44"/>
      <c r="E39" s="44"/>
      <c r="F39" s="47" t="s">
        <v>49</v>
      </c>
      <c r="G39" s="45"/>
      <c r="H39" s="45" t="s">
        <v>108</v>
      </c>
      <c r="I39" s="47" t="s">
        <v>149</v>
      </c>
      <c r="J39" s="48">
        <v>2499.85375</v>
      </c>
      <c r="K39" s="48">
        <f>615.222636+427.318498+154.971012+0.678598+70.416525+159.331193-5.486935+283.560385+3.943467+383.009905+356.521169+50.367297</f>
        <v>2499.85375</v>
      </c>
      <c r="L39" s="48">
        <f t="shared" si="1"/>
        <v>0</v>
      </c>
    </row>
    <row r="40" s="28" customFormat="1" customHeight="1" spans="1:12">
      <c r="A40" s="43">
        <v>5</v>
      </c>
      <c r="B40" s="49" t="s">
        <v>150</v>
      </c>
      <c r="C40" s="49" t="s">
        <v>151</v>
      </c>
      <c r="D40" s="49" t="s">
        <v>152</v>
      </c>
      <c r="E40" s="49" t="s">
        <v>153</v>
      </c>
      <c r="F40" s="47" t="s">
        <v>49</v>
      </c>
      <c r="G40" s="45">
        <f>J40+J41+J42+J43+J44+J45+J46+J47</f>
        <v>7439.089983</v>
      </c>
      <c r="H40" s="45" t="s">
        <v>104</v>
      </c>
      <c r="I40" s="47" t="s">
        <v>145</v>
      </c>
      <c r="J40" s="55">
        <v>54.932</v>
      </c>
      <c r="K40" s="48">
        <v>54.932</v>
      </c>
      <c r="L40" s="48">
        <f t="shared" si="1"/>
        <v>0</v>
      </c>
    </row>
    <row r="41" s="28" customFormat="1" customHeight="1" spans="1:12">
      <c r="A41" s="43"/>
      <c r="B41" s="49"/>
      <c r="C41" s="49"/>
      <c r="D41" s="49"/>
      <c r="E41" s="49"/>
      <c r="F41" s="47"/>
      <c r="G41" s="45"/>
      <c r="H41" s="45" t="s">
        <v>106</v>
      </c>
      <c r="I41" s="47" t="s">
        <v>154</v>
      </c>
      <c r="J41" s="55">
        <v>1267.6612</v>
      </c>
      <c r="K41" s="48">
        <f>817.474473+242.184095+155.735257+52.267375</f>
        <v>1267.6612</v>
      </c>
      <c r="L41" s="48">
        <f t="shared" si="1"/>
        <v>0</v>
      </c>
    </row>
    <row r="42" s="28" customFormat="1" customHeight="1" spans="1:12">
      <c r="A42" s="43"/>
      <c r="B42" s="49"/>
      <c r="C42" s="49"/>
      <c r="D42" s="49"/>
      <c r="E42" s="49"/>
      <c r="F42" s="47"/>
      <c r="G42" s="45"/>
      <c r="H42" s="45" t="s">
        <v>108</v>
      </c>
      <c r="I42" s="47" t="s">
        <v>149</v>
      </c>
      <c r="J42" s="55">
        <f>845.1076+320.702733</f>
        <v>1165.810333</v>
      </c>
      <c r="K42" s="48">
        <f>845.1076+224.491913+96.21082</f>
        <v>1165.810333</v>
      </c>
      <c r="L42" s="48">
        <f t="shared" si="1"/>
        <v>0</v>
      </c>
    </row>
    <row r="43" s="28" customFormat="1" customHeight="1" spans="1:12">
      <c r="A43" s="43"/>
      <c r="B43" s="49"/>
      <c r="C43" s="49"/>
      <c r="D43" s="49"/>
      <c r="E43" s="49"/>
      <c r="F43" s="47"/>
      <c r="G43" s="45"/>
      <c r="H43" s="45" t="s">
        <v>106</v>
      </c>
      <c r="I43" s="47" t="s">
        <v>107</v>
      </c>
      <c r="J43" s="55">
        <f>3000+143.35479</f>
        <v>3143.35479</v>
      </c>
      <c r="K43" s="48">
        <f>3000+143.35479</f>
        <v>3143.35479</v>
      </c>
      <c r="L43" s="48">
        <f t="shared" si="1"/>
        <v>0</v>
      </c>
    </row>
    <row r="44" s="28" customFormat="1" customHeight="1" spans="1:12">
      <c r="A44" s="43"/>
      <c r="B44" s="49"/>
      <c r="C44" s="49"/>
      <c r="D44" s="49"/>
      <c r="E44" s="49"/>
      <c r="F44" s="47"/>
      <c r="G44" s="45"/>
      <c r="H44" s="45" t="s">
        <v>106</v>
      </c>
      <c r="I44" s="47" t="s">
        <v>155</v>
      </c>
      <c r="J44" s="55">
        <f>845.1075-12</f>
        <v>833.1075</v>
      </c>
      <c r="K44" s="48">
        <f>441.08091+117.1094+274.91719</f>
        <v>833.1075</v>
      </c>
      <c r="L44" s="48">
        <f t="shared" si="1"/>
        <v>0</v>
      </c>
    </row>
    <row r="45" s="28" customFormat="1" customHeight="1" spans="1:12">
      <c r="A45" s="43"/>
      <c r="B45" s="49"/>
      <c r="C45" s="49"/>
      <c r="D45" s="49"/>
      <c r="E45" s="49"/>
      <c r="F45" s="47"/>
      <c r="G45" s="45"/>
      <c r="H45" s="45" t="s">
        <v>108</v>
      </c>
      <c r="I45" s="47" t="s">
        <v>156</v>
      </c>
      <c r="J45" s="55">
        <f>422.5537-50.0777</f>
        <v>372.476</v>
      </c>
      <c r="K45" s="48">
        <v>372.476</v>
      </c>
      <c r="L45" s="48">
        <f t="shared" si="1"/>
        <v>0</v>
      </c>
    </row>
    <row r="46" s="28" customFormat="1" customHeight="1" spans="1:12">
      <c r="A46" s="43"/>
      <c r="B46" s="49"/>
      <c r="C46" s="49"/>
      <c r="D46" s="49"/>
      <c r="E46" s="49"/>
      <c r="F46" s="47"/>
      <c r="G46" s="45"/>
      <c r="H46" s="45" t="s">
        <v>108</v>
      </c>
      <c r="I46" s="47" t="s">
        <v>157</v>
      </c>
      <c r="J46" s="56">
        <f>102.106-0.35784</f>
        <v>101.74816</v>
      </c>
      <c r="K46" s="48">
        <f>66.64459+30.54925+4.55432</f>
        <v>101.74816</v>
      </c>
      <c r="L46" s="48">
        <f t="shared" si="1"/>
        <v>0</v>
      </c>
    </row>
    <row r="47" s="28" customFormat="1" customHeight="1" spans="1:12">
      <c r="A47" s="43"/>
      <c r="B47" s="49"/>
      <c r="C47" s="49"/>
      <c r="D47" s="49"/>
      <c r="E47" s="49"/>
      <c r="F47" s="47"/>
      <c r="G47" s="45"/>
      <c r="H47" s="45" t="s">
        <v>106</v>
      </c>
      <c r="I47" s="47" t="s">
        <v>158</v>
      </c>
      <c r="J47" s="55">
        <v>500</v>
      </c>
      <c r="K47" s="48">
        <f>375+125</f>
        <v>500</v>
      </c>
      <c r="L47" s="48">
        <f t="shared" si="1"/>
        <v>0</v>
      </c>
    </row>
    <row r="48" s="28" customFormat="1" customHeight="1" spans="1:12">
      <c r="A48" s="43"/>
      <c r="B48" s="49"/>
      <c r="C48" s="49"/>
      <c r="D48" s="49"/>
      <c r="E48" s="49"/>
      <c r="F48" s="47" t="s">
        <v>60</v>
      </c>
      <c r="G48" s="48">
        <f>126.7661-0.64581</f>
        <v>126.12029</v>
      </c>
      <c r="H48" s="45" t="s">
        <v>147</v>
      </c>
      <c r="I48" s="47" t="s">
        <v>159</v>
      </c>
      <c r="J48" s="55">
        <f>126.7661-0.64581</f>
        <v>126.12029</v>
      </c>
      <c r="K48" s="48">
        <f>113.99829+12.122</f>
        <v>126.12029</v>
      </c>
      <c r="L48" s="48">
        <f t="shared" si="1"/>
        <v>0</v>
      </c>
    </row>
    <row r="49" s="28" customFormat="1" customHeight="1" spans="1:12">
      <c r="A49" s="43"/>
      <c r="B49" s="49"/>
      <c r="C49" s="49"/>
      <c r="D49" s="49"/>
      <c r="E49" s="49"/>
      <c r="F49" s="50" t="s">
        <v>59</v>
      </c>
      <c r="G49" s="48">
        <v>606.3838</v>
      </c>
      <c r="H49" s="45" t="s">
        <v>147</v>
      </c>
      <c r="I49" s="47" t="s">
        <v>160</v>
      </c>
      <c r="J49" s="55">
        <v>606.3838</v>
      </c>
      <c r="K49" s="48">
        <v>606.3838</v>
      </c>
      <c r="L49" s="48">
        <f t="shared" si="1"/>
        <v>0</v>
      </c>
    </row>
    <row r="50" s="28" customFormat="1" customHeight="1" spans="1:12">
      <c r="A50" s="43"/>
      <c r="B50" s="49"/>
      <c r="C50" s="49"/>
      <c r="D50" s="49"/>
      <c r="E50" s="49"/>
      <c r="F50" s="47" t="s">
        <v>50</v>
      </c>
      <c r="G50" s="51">
        <v>3563.169217</v>
      </c>
      <c r="H50" s="45" t="s">
        <v>106</v>
      </c>
      <c r="I50" s="47" t="s">
        <v>132</v>
      </c>
      <c r="J50" s="57">
        <v>3563.169217</v>
      </c>
      <c r="K50" s="51">
        <v>3563.169217</v>
      </c>
      <c r="L50" s="48">
        <f t="shared" si="1"/>
        <v>0</v>
      </c>
    </row>
    <row r="51" s="28" customFormat="1" customHeight="1" spans="1:12">
      <c r="A51" s="43">
        <v>6</v>
      </c>
      <c r="B51" s="49" t="s">
        <v>150</v>
      </c>
      <c r="C51" s="49" t="s">
        <v>151</v>
      </c>
      <c r="D51" s="44" t="s">
        <v>152</v>
      </c>
      <c r="E51" s="49" t="s">
        <v>153</v>
      </c>
      <c r="F51" s="47" t="s">
        <v>51</v>
      </c>
      <c r="G51" s="45">
        <f>J51+J52+J53+J54+J55+J56+J57+J58+J59</f>
        <v>1309.437757</v>
      </c>
      <c r="H51" s="45" t="s">
        <v>106</v>
      </c>
      <c r="I51" s="47" t="s">
        <v>161</v>
      </c>
      <c r="J51" s="55">
        <v>99.49176</v>
      </c>
      <c r="K51" s="48">
        <v>99.49176</v>
      </c>
      <c r="L51" s="48">
        <f t="shared" si="1"/>
        <v>0</v>
      </c>
    </row>
    <row r="52" s="28" customFormat="1" customHeight="1" spans="1:12">
      <c r="A52" s="43"/>
      <c r="B52" s="49"/>
      <c r="C52" s="49"/>
      <c r="D52" s="44"/>
      <c r="E52" s="49"/>
      <c r="F52" s="47"/>
      <c r="G52" s="45"/>
      <c r="H52" s="45" t="s">
        <v>106</v>
      </c>
      <c r="I52" s="47" t="s">
        <v>162</v>
      </c>
      <c r="J52" s="55">
        <v>140</v>
      </c>
      <c r="K52" s="48">
        <v>140</v>
      </c>
      <c r="L52" s="48">
        <f t="shared" si="1"/>
        <v>0</v>
      </c>
    </row>
    <row r="53" s="28" customFormat="1" customHeight="1" spans="1:12">
      <c r="A53" s="43"/>
      <c r="B53" s="49"/>
      <c r="C53" s="49"/>
      <c r="D53" s="44"/>
      <c r="E53" s="49"/>
      <c r="F53" s="47"/>
      <c r="G53" s="45"/>
      <c r="H53" s="45" t="s">
        <v>106</v>
      </c>
      <c r="I53" s="47" t="s">
        <v>163</v>
      </c>
      <c r="J53" s="55">
        <v>60</v>
      </c>
      <c r="K53" s="48">
        <v>60</v>
      </c>
      <c r="L53" s="48">
        <f t="shared" si="1"/>
        <v>0</v>
      </c>
    </row>
    <row r="54" s="28" customFormat="1" customHeight="1" spans="1:12">
      <c r="A54" s="43"/>
      <c r="B54" s="49"/>
      <c r="C54" s="49"/>
      <c r="D54" s="44"/>
      <c r="E54" s="49"/>
      <c r="F54" s="47"/>
      <c r="G54" s="45"/>
      <c r="H54" s="45" t="s">
        <v>106</v>
      </c>
      <c r="I54" s="47" t="s">
        <v>124</v>
      </c>
      <c r="J54" s="55">
        <f>57.249563+12.769528</f>
        <v>70.019091</v>
      </c>
      <c r="K54" s="48">
        <f>57.249563+12.769528</f>
        <v>70.019091</v>
      </c>
      <c r="L54" s="48">
        <f t="shared" si="1"/>
        <v>0</v>
      </c>
    </row>
    <row r="55" s="28" customFormat="1" customHeight="1" spans="1:12">
      <c r="A55" s="43"/>
      <c r="B55" s="49"/>
      <c r="C55" s="49"/>
      <c r="D55" s="44"/>
      <c r="E55" s="49"/>
      <c r="F55" s="47"/>
      <c r="G55" s="45"/>
      <c r="H55" s="45" t="s">
        <v>106</v>
      </c>
      <c r="I55" s="47" t="s">
        <v>164</v>
      </c>
      <c r="J55" s="55">
        <f>400-37.41328</f>
        <v>362.58672</v>
      </c>
      <c r="K55" s="48">
        <f>202.897301+36.951786+10.531042+26.0443+10.753745+49.655543+25.753003</f>
        <v>362.58672</v>
      </c>
      <c r="L55" s="48">
        <f t="shared" si="1"/>
        <v>0</v>
      </c>
    </row>
    <row r="56" s="28" customFormat="1" customHeight="1" spans="1:12">
      <c r="A56" s="43"/>
      <c r="B56" s="49"/>
      <c r="C56" s="49"/>
      <c r="D56" s="44"/>
      <c r="E56" s="49"/>
      <c r="F56" s="47"/>
      <c r="G56" s="45"/>
      <c r="H56" s="45" t="s">
        <v>106</v>
      </c>
      <c r="I56" s="47" t="s">
        <v>165</v>
      </c>
      <c r="J56" s="55">
        <f>300-92.665514</f>
        <v>207.334486</v>
      </c>
      <c r="K56" s="48">
        <f>29.447724+177.886762</f>
        <v>207.334486</v>
      </c>
      <c r="L56" s="48">
        <f t="shared" si="1"/>
        <v>0</v>
      </c>
    </row>
    <row r="57" s="28" customFormat="1" customHeight="1" spans="1:12">
      <c r="A57" s="43"/>
      <c r="B57" s="49"/>
      <c r="C57" s="49"/>
      <c r="D57" s="44"/>
      <c r="E57" s="49"/>
      <c r="F57" s="47"/>
      <c r="G57" s="45"/>
      <c r="H57" s="45" t="s">
        <v>106</v>
      </c>
      <c r="I57" s="47" t="s">
        <v>166</v>
      </c>
      <c r="J57" s="55">
        <f>182.6969-61.8321</f>
        <v>120.8648</v>
      </c>
      <c r="K57" s="48">
        <v>120.8648</v>
      </c>
      <c r="L57" s="48">
        <f t="shared" si="1"/>
        <v>0</v>
      </c>
    </row>
    <row r="58" s="28" customFormat="1" customHeight="1" spans="1:12">
      <c r="A58" s="43"/>
      <c r="B58" s="49"/>
      <c r="C58" s="49"/>
      <c r="D58" s="44"/>
      <c r="E58" s="49"/>
      <c r="F58" s="47"/>
      <c r="G58" s="45"/>
      <c r="H58" s="45" t="s">
        <v>106</v>
      </c>
      <c r="I58" s="47" t="s">
        <v>167</v>
      </c>
      <c r="J58" s="55">
        <v>200</v>
      </c>
      <c r="K58" s="48">
        <v>200</v>
      </c>
      <c r="L58" s="48">
        <f t="shared" si="1"/>
        <v>0</v>
      </c>
    </row>
    <row r="59" s="29" customFormat="1" customHeight="1" spans="1:12">
      <c r="A59" s="43"/>
      <c r="B59" s="49"/>
      <c r="C59" s="49"/>
      <c r="D59" s="44"/>
      <c r="E59" s="49"/>
      <c r="F59" s="47"/>
      <c r="G59" s="45"/>
      <c r="H59" s="45" t="s">
        <v>106</v>
      </c>
      <c r="I59" s="47" t="s">
        <v>168</v>
      </c>
      <c r="J59" s="55">
        <v>49.1409</v>
      </c>
      <c r="K59" s="48">
        <v>49.1409</v>
      </c>
      <c r="L59" s="48">
        <f t="shared" si="1"/>
        <v>0</v>
      </c>
    </row>
    <row r="60" s="29" customFormat="1" customHeight="1" spans="1:12">
      <c r="A60" s="43">
        <v>7</v>
      </c>
      <c r="B60" s="49" t="s">
        <v>150</v>
      </c>
      <c r="C60" s="49" t="s">
        <v>151</v>
      </c>
      <c r="D60" s="44" t="s">
        <v>152</v>
      </c>
      <c r="E60" s="49" t="s">
        <v>153</v>
      </c>
      <c r="F60" s="47" t="s">
        <v>50</v>
      </c>
      <c r="G60" s="45">
        <v>1706.6175</v>
      </c>
      <c r="H60" s="45" t="s">
        <v>106</v>
      </c>
      <c r="I60" s="47" t="s">
        <v>169</v>
      </c>
      <c r="J60" s="55">
        <v>287.5</v>
      </c>
      <c r="K60" s="48">
        <v>287.5</v>
      </c>
      <c r="L60" s="48">
        <f t="shared" si="1"/>
        <v>0</v>
      </c>
    </row>
    <row r="61" s="29" customFormat="1" customHeight="1" spans="1:12">
      <c r="A61" s="43"/>
      <c r="B61" s="49"/>
      <c r="C61" s="49"/>
      <c r="D61" s="44"/>
      <c r="E61" s="49"/>
      <c r="F61" s="47"/>
      <c r="G61" s="45"/>
      <c r="H61" s="45" t="s">
        <v>106</v>
      </c>
      <c r="I61" s="47" t="s">
        <v>170</v>
      </c>
      <c r="J61" s="55">
        <v>124.1375</v>
      </c>
      <c r="K61" s="48">
        <v>124.1375</v>
      </c>
      <c r="L61" s="48">
        <f t="shared" si="1"/>
        <v>0</v>
      </c>
    </row>
    <row r="62" s="29" customFormat="1" customHeight="1" spans="1:12">
      <c r="A62" s="43"/>
      <c r="B62" s="49"/>
      <c r="C62" s="49"/>
      <c r="D62" s="44"/>
      <c r="E62" s="49"/>
      <c r="F62" s="47"/>
      <c r="G62" s="45"/>
      <c r="H62" s="45" t="s">
        <v>106</v>
      </c>
      <c r="I62" s="47" t="s">
        <v>171</v>
      </c>
      <c r="J62" s="55">
        <v>36.825</v>
      </c>
      <c r="K62" s="48">
        <v>36.825</v>
      </c>
      <c r="L62" s="48">
        <f t="shared" si="1"/>
        <v>0</v>
      </c>
    </row>
    <row r="63" s="29" customFormat="1" customHeight="1" spans="1:12">
      <c r="A63" s="43"/>
      <c r="B63" s="49"/>
      <c r="C63" s="49"/>
      <c r="D63" s="44"/>
      <c r="E63" s="49"/>
      <c r="F63" s="47"/>
      <c r="G63" s="45"/>
      <c r="H63" s="45" t="s">
        <v>106</v>
      </c>
      <c r="I63" s="47" t="s">
        <v>172</v>
      </c>
      <c r="J63" s="55">
        <v>493.965</v>
      </c>
      <c r="K63" s="48">
        <f>246.9825+82.3275+82.3275+82.3275</f>
        <v>493.965</v>
      </c>
      <c r="L63" s="48">
        <f t="shared" si="1"/>
        <v>0</v>
      </c>
    </row>
    <row r="64" s="29" customFormat="1" customHeight="1" spans="1:12">
      <c r="A64" s="43"/>
      <c r="B64" s="49"/>
      <c r="C64" s="49"/>
      <c r="D64" s="44"/>
      <c r="E64" s="49"/>
      <c r="F64" s="47"/>
      <c r="G64" s="45"/>
      <c r="H64" s="45" t="s">
        <v>106</v>
      </c>
      <c r="I64" s="47" t="s">
        <v>171</v>
      </c>
      <c r="J64" s="58">
        <v>764.19</v>
      </c>
      <c r="K64" s="48">
        <f>382.095+127.365+127.365+127.365</f>
        <v>764.19</v>
      </c>
      <c r="L64" s="48">
        <f t="shared" si="1"/>
        <v>0</v>
      </c>
    </row>
    <row r="65" s="29" customFormat="1" customHeight="1" spans="1:12">
      <c r="A65" s="43">
        <v>8</v>
      </c>
      <c r="B65" s="49" t="s">
        <v>150</v>
      </c>
      <c r="C65" s="49" t="s">
        <v>151</v>
      </c>
      <c r="D65" s="44" t="s">
        <v>152</v>
      </c>
      <c r="E65" s="49" t="s">
        <v>153</v>
      </c>
      <c r="F65" s="47" t="s">
        <v>52</v>
      </c>
      <c r="G65" s="45">
        <f>J65+J66</f>
        <v>2237.396823</v>
      </c>
      <c r="H65" s="45" t="s">
        <v>106</v>
      </c>
      <c r="I65" s="47" t="s">
        <v>173</v>
      </c>
      <c r="J65" s="55">
        <f>1000+95.195698</f>
        <v>1095.195698</v>
      </c>
      <c r="K65" s="48">
        <f>182.238173+478.72735+339.034477+95.195698</f>
        <v>1095.195698</v>
      </c>
      <c r="L65" s="48">
        <f t="shared" si="1"/>
        <v>0</v>
      </c>
    </row>
    <row r="66" s="29" customFormat="1" customHeight="1" spans="1:12">
      <c r="A66" s="43"/>
      <c r="B66" s="49"/>
      <c r="C66" s="49"/>
      <c r="D66" s="44"/>
      <c r="E66" s="49"/>
      <c r="F66" s="47"/>
      <c r="G66" s="45"/>
      <c r="H66" s="45" t="s">
        <v>106</v>
      </c>
      <c r="I66" s="47" t="s">
        <v>174</v>
      </c>
      <c r="J66" s="57">
        <f>1067.792583+74.408542</f>
        <v>1142.201125</v>
      </c>
      <c r="K66" s="48">
        <f>827.792583+6.602794+117.773456+115.62375+74.408542</f>
        <v>1142.201125</v>
      </c>
      <c r="L66" s="48">
        <f t="shared" si="1"/>
        <v>0</v>
      </c>
    </row>
    <row r="67" s="29" customFormat="1" customHeight="1" spans="1:12">
      <c r="A67" s="43">
        <v>9</v>
      </c>
      <c r="B67" s="49" t="s">
        <v>150</v>
      </c>
      <c r="C67" s="49" t="s">
        <v>151</v>
      </c>
      <c r="D67" s="44" t="s">
        <v>152</v>
      </c>
      <c r="E67" s="49" t="s">
        <v>153</v>
      </c>
      <c r="F67" s="47" t="s">
        <v>57</v>
      </c>
      <c r="G67" s="46">
        <v>1609.965</v>
      </c>
      <c r="H67" s="45" t="s">
        <v>108</v>
      </c>
      <c r="I67" s="47" t="s">
        <v>175</v>
      </c>
      <c r="J67" s="60">
        <v>1609.965</v>
      </c>
      <c r="K67" s="46">
        <v>1609.965</v>
      </c>
      <c r="L67" s="48">
        <f t="shared" si="1"/>
        <v>0</v>
      </c>
    </row>
    <row r="68" s="29" customFormat="1" customHeight="1" spans="1:12">
      <c r="A68" s="43">
        <v>10</v>
      </c>
      <c r="B68" s="49" t="s">
        <v>150</v>
      </c>
      <c r="C68" s="49" t="s">
        <v>151</v>
      </c>
      <c r="D68" s="44" t="s">
        <v>152</v>
      </c>
      <c r="E68" s="49" t="s">
        <v>153</v>
      </c>
      <c r="F68" s="47" t="s">
        <v>176</v>
      </c>
      <c r="G68" s="48">
        <f>350-348.18037</f>
        <v>1.81963000000002</v>
      </c>
      <c r="H68" s="45" t="s">
        <v>106</v>
      </c>
      <c r="I68" s="47" t="s">
        <v>177</v>
      </c>
      <c r="J68" s="55">
        <f>350-348.18037</f>
        <v>1.81963000000002</v>
      </c>
      <c r="K68" s="48">
        <f>0.8949+0.92473</f>
        <v>1.81963</v>
      </c>
      <c r="L68" s="48">
        <v>0</v>
      </c>
    </row>
    <row r="69" s="29" customFormat="1" customHeight="1" spans="1:12">
      <c r="A69" s="43">
        <v>11</v>
      </c>
      <c r="B69" s="44" t="s">
        <v>116</v>
      </c>
      <c r="C69" s="44" t="s">
        <v>151</v>
      </c>
      <c r="D69" s="44" t="s">
        <v>178</v>
      </c>
      <c r="E69" s="44" t="s">
        <v>179</v>
      </c>
      <c r="F69" s="47" t="s">
        <v>180</v>
      </c>
      <c r="G69" s="48">
        <v>3950</v>
      </c>
      <c r="H69" s="45"/>
      <c r="I69" s="47" t="s">
        <v>181</v>
      </c>
      <c r="J69" s="55">
        <v>3950</v>
      </c>
      <c r="K69" s="48">
        <f>3322.800959+46.221415+7.049569</f>
        <v>3376.071943</v>
      </c>
      <c r="L69" s="48">
        <f t="shared" ref="L69:L100" si="2">J69-K69</f>
        <v>573.928057</v>
      </c>
    </row>
    <row r="70" s="29" customFormat="1" customHeight="1" spans="1:12">
      <c r="A70" s="43"/>
      <c r="B70" s="44"/>
      <c r="C70" s="44"/>
      <c r="D70" s="44"/>
      <c r="E70" s="44"/>
      <c r="F70" s="47" t="s">
        <v>49</v>
      </c>
      <c r="G70" s="45">
        <v>936</v>
      </c>
      <c r="H70" s="45" t="s">
        <v>106</v>
      </c>
      <c r="I70" s="47" t="s">
        <v>139</v>
      </c>
      <c r="J70" s="55">
        <v>901.178</v>
      </c>
      <c r="K70" s="48">
        <f>188.5954+494.3629+218.2197</f>
        <v>901.178</v>
      </c>
      <c r="L70" s="48">
        <f t="shared" si="2"/>
        <v>0</v>
      </c>
    </row>
    <row r="71" s="29" customFormat="1" customHeight="1" spans="1:12">
      <c r="A71" s="43"/>
      <c r="B71" s="44"/>
      <c r="C71" s="44"/>
      <c r="D71" s="44"/>
      <c r="E71" s="44"/>
      <c r="F71" s="47"/>
      <c r="G71" s="45"/>
      <c r="H71" s="45" t="s">
        <v>108</v>
      </c>
      <c r="I71" s="47" t="s">
        <v>182</v>
      </c>
      <c r="J71" s="55">
        <f>35-0.178</f>
        <v>34.822</v>
      </c>
      <c r="K71" s="48">
        <f>35-0.178</f>
        <v>34.822</v>
      </c>
      <c r="L71" s="48">
        <f t="shared" si="2"/>
        <v>0</v>
      </c>
    </row>
    <row r="72" s="28" customFormat="1" customHeight="1" spans="1:12">
      <c r="A72" s="43">
        <v>12</v>
      </c>
      <c r="B72" s="44" t="s">
        <v>116</v>
      </c>
      <c r="C72" s="49" t="s">
        <v>151</v>
      </c>
      <c r="D72" s="44" t="s">
        <v>183</v>
      </c>
      <c r="E72" s="44" t="s">
        <v>184</v>
      </c>
      <c r="F72" s="44" t="s">
        <v>63</v>
      </c>
      <c r="G72" s="48">
        <v>787</v>
      </c>
      <c r="H72" s="45" t="s">
        <v>104</v>
      </c>
      <c r="I72" s="47" t="s">
        <v>146</v>
      </c>
      <c r="J72" s="48">
        <v>787</v>
      </c>
      <c r="K72" s="48">
        <v>787</v>
      </c>
      <c r="L72" s="48">
        <f t="shared" si="2"/>
        <v>0</v>
      </c>
    </row>
    <row r="73" s="28" customFormat="1" customHeight="1" spans="1:12">
      <c r="A73" s="43">
        <v>13</v>
      </c>
      <c r="B73" s="44" t="s">
        <v>185</v>
      </c>
      <c r="C73" s="44" t="s">
        <v>101</v>
      </c>
      <c r="D73" s="44" t="s">
        <v>186</v>
      </c>
      <c r="E73" s="44" t="s">
        <v>186</v>
      </c>
      <c r="F73" s="47" t="s">
        <v>53</v>
      </c>
      <c r="G73" s="45">
        <v>1000</v>
      </c>
      <c r="H73" s="45" t="s">
        <v>106</v>
      </c>
      <c r="I73" s="44" t="s">
        <v>187</v>
      </c>
      <c r="J73" s="44">
        <v>236.852541</v>
      </c>
      <c r="K73" s="48">
        <f>32.783063+19.394715+108.130436+18.693829+17.201361-51.320928+74.962599+8+9.007466</f>
        <v>236.852541</v>
      </c>
      <c r="L73" s="48">
        <f t="shared" si="2"/>
        <v>0</v>
      </c>
    </row>
    <row r="74" s="28" customFormat="1" customHeight="1" spans="1:12">
      <c r="A74" s="43"/>
      <c r="B74" s="44"/>
      <c r="C74" s="44"/>
      <c r="D74" s="44"/>
      <c r="E74" s="44"/>
      <c r="F74" s="47"/>
      <c r="G74" s="45"/>
      <c r="H74" s="45" t="s">
        <v>106</v>
      </c>
      <c r="I74" s="44" t="s">
        <v>188</v>
      </c>
      <c r="J74" s="48">
        <f>292.944396+10.1511</f>
        <v>303.095496</v>
      </c>
      <c r="K74" s="48">
        <f>292.944396+10.1511</f>
        <v>303.095496</v>
      </c>
      <c r="L74" s="48">
        <f t="shared" si="2"/>
        <v>0</v>
      </c>
    </row>
    <row r="75" s="28" customFormat="1" customHeight="1" spans="1:12">
      <c r="A75" s="43"/>
      <c r="B75" s="44"/>
      <c r="C75" s="44"/>
      <c r="D75" s="44"/>
      <c r="E75" s="44"/>
      <c r="F75" s="47"/>
      <c r="G75" s="45"/>
      <c r="H75" s="45" t="s">
        <v>106</v>
      </c>
      <c r="I75" s="44" t="s">
        <v>189</v>
      </c>
      <c r="J75" s="44">
        <v>62</v>
      </c>
      <c r="K75" s="48">
        <v>62</v>
      </c>
      <c r="L75" s="48">
        <f t="shared" si="2"/>
        <v>0</v>
      </c>
    </row>
    <row r="76" s="28" customFormat="1" customHeight="1" spans="1:12">
      <c r="A76" s="43"/>
      <c r="B76" s="44"/>
      <c r="C76" s="44"/>
      <c r="D76" s="44"/>
      <c r="E76" s="44"/>
      <c r="F76" s="47"/>
      <c r="G76" s="45"/>
      <c r="H76" s="45" t="s">
        <v>106</v>
      </c>
      <c r="I76" s="44" t="s">
        <v>190</v>
      </c>
      <c r="J76" s="48">
        <f>341.380278+16.7789</f>
        <v>358.159178</v>
      </c>
      <c r="K76" s="48">
        <f>341.380278+16.7789</f>
        <v>358.159178</v>
      </c>
      <c r="L76" s="48">
        <f t="shared" si="2"/>
        <v>0</v>
      </c>
    </row>
    <row r="77" s="28" customFormat="1" customHeight="1" spans="1:12">
      <c r="A77" s="43"/>
      <c r="B77" s="44"/>
      <c r="C77" s="44"/>
      <c r="D77" s="44"/>
      <c r="E77" s="44"/>
      <c r="F77" s="47"/>
      <c r="G77" s="45"/>
      <c r="H77" s="45" t="s">
        <v>106</v>
      </c>
      <c r="I77" s="44" t="s">
        <v>191</v>
      </c>
      <c r="J77" s="48">
        <v>39.892785</v>
      </c>
      <c r="K77" s="48">
        <v>39.892785</v>
      </c>
      <c r="L77" s="48">
        <f t="shared" si="2"/>
        <v>0</v>
      </c>
    </row>
    <row r="78" s="28" customFormat="1" customHeight="1" spans="1:12">
      <c r="A78" s="43"/>
      <c r="B78" s="44"/>
      <c r="C78" s="44"/>
      <c r="D78" s="44"/>
      <c r="E78" s="44"/>
      <c r="F78" s="47" t="s">
        <v>54</v>
      </c>
      <c r="G78" s="45">
        <v>200</v>
      </c>
      <c r="H78" s="45" t="s">
        <v>106</v>
      </c>
      <c r="I78" s="44" t="s">
        <v>192</v>
      </c>
      <c r="J78" s="48">
        <v>165</v>
      </c>
      <c r="K78" s="48">
        <v>165</v>
      </c>
      <c r="L78" s="48">
        <f t="shared" si="2"/>
        <v>0</v>
      </c>
    </row>
    <row r="79" s="28" customFormat="1" customHeight="1" spans="1:12">
      <c r="A79" s="43"/>
      <c r="B79" s="44"/>
      <c r="C79" s="44"/>
      <c r="D79" s="44"/>
      <c r="E79" s="44"/>
      <c r="F79" s="47"/>
      <c r="G79" s="45"/>
      <c r="H79" s="45" t="s">
        <v>108</v>
      </c>
      <c r="I79" s="44" t="s">
        <v>193</v>
      </c>
      <c r="J79" s="48">
        <v>35</v>
      </c>
      <c r="K79" s="48">
        <v>35</v>
      </c>
      <c r="L79" s="48">
        <f t="shared" si="2"/>
        <v>0</v>
      </c>
    </row>
    <row r="80" s="28" customFormat="1" customHeight="1" spans="1:12">
      <c r="A80" s="43"/>
      <c r="B80" s="44"/>
      <c r="C80" s="44"/>
      <c r="D80" s="44"/>
      <c r="E80" s="44"/>
      <c r="F80" s="47" t="s">
        <v>66</v>
      </c>
      <c r="G80" s="45">
        <v>1400</v>
      </c>
      <c r="H80" s="45"/>
      <c r="I80" s="47" t="s">
        <v>194</v>
      </c>
      <c r="J80" s="48">
        <v>1400</v>
      </c>
      <c r="K80" s="48">
        <f>1111.00914+141.365858</f>
        <v>1252.374998</v>
      </c>
      <c r="L80" s="48">
        <v>0</v>
      </c>
    </row>
    <row r="81" s="28" customFormat="1" customHeight="1" spans="1:12">
      <c r="A81" s="43"/>
      <c r="B81" s="44"/>
      <c r="C81" s="44"/>
      <c r="D81" s="44"/>
      <c r="E81" s="44"/>
      <c r="F81" s="47" t="s">
        <v>49</v>
      </c>
      <c r="G81" s="45">
        <v>500</v>
      </c>
      <c r="H81" s="45" t="s">
        <v>137</v>
      </c>
      <c r="I81" s="47" t="s">
        <v>138</v>
      </c>
      <c r="J81" s="48">
        <v>258</v>
      </c>
      <c r="K81" s="48">
        <f>189.6+10+15+15-40+53.4+15</f>
        <v>258</v>
      </c>
      <c r="L81" s="48">
        <f t="shared" si="2"/>
        <v>0</v>
      </c>
    </row>
    <row r="82" s="28" customFormat="1" customHeight="1" spans="1:12">
      <c r="A82" s="43"/>
      <c r="B82" s="44"/>
      <c r="C82" s="44"/>
      <c r="D82" s="59"/>
      <c r="E82" s="44"/>
      <c r="F82" s="47"/>
      <c r="G82" s="45"/>
      <c r="H82" s="45" t="s">
        <v>106</v>
      </c>
      <c r="I82" s="54" t="s">
        <v>107</v>
      </c>
      <c r="J82" s="48">
        <f>500-258</f>
        <v>242</v>
      </c>
      <c r="K82" s="48">
        <v>242</v>
      </c>
      <c r="L82" s="48">
        <f t="shared" si="2"/>
        <v>0</v>
      </c>
    </row>
    <row r="83" s="28" customFormat="1" customHeight="1" spans="1:13">
      <c r="A83" s="43">
        <v>14</v>
      </c>
      <c r="B83" s="44" t="s">
        <v>185</v>
      </c>
      <c r="C83" s="44" t="s">
        <v>151</v>
      </c>
      <c r="D83" s="44" t="s">
        <v>195</v>
      </c>
      <c r="E83" s="44" t="s">
        <v>196</v>
      </c>
      <c r="F83" s="47" t="s">
        <v>49</v>
      </c>
      <c r="G83" s="45">
        <v>1700</v>
      </c>
      <c r="H83" s="45" t="s">
        <v>106</v>
      </c>
      <c r="I83" s="47" t="s">
        <v>144</v>
      </c>
      <c r="J83" s="43">
        <v>276</v>
      </c>
      <c r="K83" s="43">
        <v>145.78</v>
      </c>
      <c r="L83" s="48">
        <v>0</v>
      </c>
      <c r="M83" s="28" t="e">
        <f>K83-#REF!</f>
        <v>#REF!</v>
      </c>
    </row>
    <row r="84" s="28" customFormat="1" customHeight="1" spans="1:13">
      <c r="A84" s="43"/>
      <c r="B84" s="44"/>
      <c r="C84" s="44"/>
      <c r="D84" s="44"/>
      <c r="E84" s="44"/>
      <c r="F84" s="47"/>
      <c r="G84" s="45"/>
      <c r="H84" s="45" t="s">
        <v>104</v>
      </c>
      <c r="I84" s="47" t="s">
        <v>197</v>
      </c>
      <c r="J84" s="43">
        <v>360</v>
      </c>
      <c r="K84" s="48">
        <v>360</v>
      </c>
      <c r="L84" s="48">
        <f t="shared" si="2"/>
        <v>0</v>
      </c>
      <c r="M84" s="28" t="e">
        <f>K84-#REF!</f>
        <v>#REF!</v>
      </c>
    </row>
    <row r="85" s="28" customFormat="1" customHeight="1" spans="1:13">
      <c r="A85" s="43"/>
      <c r="B85" s="44"/>
      <c r="C85" s="44"/>
      <c r="D85" s="44"/>
      <c r="E85" s="44"/>
      <c r="F85" s="47"/>
      <c r="G85" s="45"/>
      <c r="H85" s="45" t="s">
        <v>108</v>
      </c>
      <c r="I85" s="47" t="s">
        <v>198</v>
      </c>
      <c r="J85" s="43">
        <v>59.8</v>
      </c>
      <c r="K85" s="43">
        <v>59.8</v>
      </c>
      <c r="L85" s="48">
        <f t="shared" si="2"/>
        <v>0</v>
      </c>
      <c r="M85" s="28" t="e">
        <f>K85-#REF!</f>
        <v>#REF!</v>
      </c>
    </row>
    <row r="86" s="28" customFormat="1" customHeight="1" spans="1:13">
      <c r="A86" s="43"/>
      <c r="B86" s="44"/>
      <c r="C86" s="44"/>
      <c r="D86" s="44"/>
      <c r="E86" s="44"/>
      <c r="F86" s="47"/>
      <c r="G86" s="45"/>
      <c r="H86" s="45" t="s">
        <v>137</v>
      </c>
      <c r="I86" s="47" t="s">
        <v>138</v>
      </c>
      <c r="J86" s="43">
        <f>350-59.8-62.874</f>
        <v>227.326</v>
      </c>
      <c r="K86" s="43">
        <v>69.8</v>
      </c>
      <c r="L86" s="48">
        <v>0</v>
      </c>
      <c r="M86" s="28" t="e">
        <f>K86-#REF!</f>
        <v>#REF!</v>
      </c>
    </row>
    <row r="87" s="28" customFormat="1" customHeight="1" spans="1:13">
      <c r="A87" s="43"/>
      <c r="B87" s="44"/>
      <c r="C87" s="44"/>
      <c r="D87" s="44"/>
      <c r="E87" s="44"/>
      <c r="F87" s="47"/>
      <c r="G87" s="45"/>
      <c r="H87" s="45" t="s">
        <v>108</v>
      </c>
      <c r="I87" s="47" t="s">
        <v>199</v>
      </c>
      <c r="J87" s="48">
        <v>62.874</v>
      </c>
      <c r="K87" s="48">
        <v>62.874</v>
      </c>
      <c r="L87" s="48">
        <v>0</v>
      </c>
      <c r="M87" s="28" t="e">
        <f>K87-#REF!</f>
        <v>#REF!</v>
      </c>
    </row>
    <row r="88" s="28" customFormat="1" customHeight="1" spans="1:13">
      <c r="A88" s="43"/>
      <c r="B88" s="44"/>
      <c r="C88" s="44"/>
      <c r="D88" s="44"/>
      <c r="E88" s="44"/>
      <c r="F88" s="47"/>
      <c r="G88" s="45"/>
      <c r="H88" s="45" t="s">
        <v>108</v>
      </c>
      <c r="I88" s="47" t="s">
        <v>200</v>
      </c>
      <c r="J88" s="43">
        <v>43.8</v>
      </c>
      <c r="K88" s="48">
        <v>43.8</v>
      </c>
      <c r="L88" s="48">
        <f t="shared" si="2"/>
        <v>0</v>
      </c>
      <c r="M88" s="28" t="e">
        <f>K88-#REF!</f>
        <v>#REF!</v>
      </c>
    </row>
    <row r="89" s="28" customFormat="1" customHeight="1" spans="1:13">
      <c r="A89" s="43"/>
      <c r="B89" s="44"/>
      <c r="C89" s="44"/>
      <c r="D89" s="44"/>
      <c r="E89" s="44"/>
      <c r="F89" s="47"/>
      <c r="G89" s="45"/>
      <c r="H89" s="45" t="s">
        <v>106</v>
      </c>
      <c r="I89" s="47" t="s">
        <v>107</v>
      </c>
      <c r="J89" s="48">
        <f>38.83+75+24+1.37-24</f>
        <v>115.2</v>
      </c>
      <c r="K89" s="48">
        <v>115.2</v>
      </c>
      <c r="L89" s="48">
        <f t="shared" si="2"/>
        <v>0</v>
      </c>
      <c r="M89" s="28" t="e">
        <f>K89-#REF!</f>
        <v>#REF!</v>
      </c>
    </row>
    <row r="90" s="28" customFormat="1" customHeight="1" spans="1:13">
      <c r="A90" s="43"/>
      <c r="B90" s="44"/>
      <c r="C90" s="44"/>
      <c r="D90" s="44"/>
      <c r="E90" s="44"/>
      <c r="F90" s="47"/>
      <c r="G90" s="45"/>
      <c r="H90" s="45" t="s">
        <v>108</v>
      </c>
      <c r="I90" s="47" t="s">
        <v>201</v>
      </c>
      <c r="J90" s="48">
        <v>555</v>
      </c>
      <c r="K90" s="48">
        <v>0</v>
      </c>
      <c r="L90" s="48">
        <v>0</v>
      </c>
      <c r="M90" s="28" t="e">
        <f>K90-#REF!</f>
        <v>#REF!</v>
      </c>
    </row>
    <row r="91" s="28" customFormat="1" customHeight="1" spans="1:13">
      <c r="A91" s="43"/>
      <c r="B91" s="44"/>
      <c r="C91" s="44"/>
      <c r="D91" s="59"/>
      <c r="E91" s="44"/>
      <c r="F91" s="47" t="s">
        <v>66</v>
      </c>
      <c r="G91" s="45">
        <v>1400</v>
      </c>
      <c r="H91" s="45"/>
      <c r="I91" s="47" t="s">
        <v>202</v>
      </c>
      <c r="J91" s="48">
        <v>1400</v>
      </c>
      <c r="K91" s="48">
        <v>4.203401</v>
      </c>
      <c r="L91" s="48">
        <v>0</v>
      </c>
      <c r="M91" s="48">
        <v>4.203401</v>
      </c>
    </row>
    <row r="92" s="30" customFormat="1" customHeight="1" spans="1:13">
      <c r="A92" s="44">
        <v>15</v>
      </c>
      <c r="B92" s="44" t="s">
        <v>116</v>
      </c>
      <c r="C92" s="44" t="s">
        <v>151</v>
      </c>
      <c r="D92" s="44" t="s">
        <v>203</v>
      </c>
      <c r="E92" s="44" t="s">
        <v>204</v>
      </c>
      <c r="F92" s="47" t="s">
        <v>180</v>
      </c>
      <c r="G92" s="45">
        <v>4150</v>
      </c>
      <c r="H92" s="45"/>
      <c r="I92" s="44" t="s">
        <v>205</v>
      </c>
      <c r="J92" s="61">
        <v>4150</v>
      </c>
      <c r="K92" s="45">
        <f>3176.422742+71.265892+49.780942+13.637371</f>
        <v>3311.106947</v>
      </c>
      <c r="L92" s="48">
        <f t="shared" si="2"/>
        <v>838.893053</v>
      </c>
      <c r="M92" s="29"/>
    </row>
    <row r="93" s="30" customFormat="1" customHeight="1" spans="1:12">
      <c r="A93" s="44"/>
      <c r="B93" s="44"/>
      <c r="C93" s="44"/>
      <c r="D93" s="44"/>
      <c r="E93" s="44"/>
      <c r="F93" s="44" t="s">
        <v>49</v>
      </c>
      <c r="G93" s="45">
        <v>362</v>
      </c>
      <c r="H93" s="45" t="s">
        <v>106</v>
      </c>
      <c r="I93" s="47" t="s">
        <v>139</v>
      </c>
      <c r="J93" s="61">
        <f>203.130973+1.5</f>
        <v>204.630973</v>
      </c>
      <c r="K93" s="61">
        <f>203.130973+1.5</f>
        <v>204.630973</v>
      </c>
      <c r="L93" s="48">
        <f t="shared" si="2"/>
        <v>0</v>
      </c>
    </row>
    <row r="94" s="30" customFormat="1" customHeight="1" spans="1:12">
      <c r="A94" s="44"/>
      <c r="B94" s="44"/>
      <c r="C94" s="44"/>
      <c r="D94" s="44"/>
      <c r="E94" s="44"/>
      <c r="F94" s="44"/>
      <c r="G94" s="45"/>
      <c r="H94" s="45" t="s">
        <v>104</v>
      </c>
      <c r="I94" s="47" t="s">
        <v>145</v>
      </c>
      <c r="J94" s="61">
        <v>37.522959</v>
      </c>
      <c r="K94" s="45">
        <v>37.522959</v>
      </c>
      <c r="L94" s="48">
        <f t="shared" si="2"/>
        <v>0</v>
      </c>
    </row>
    <row r="95" s="30" customFormat="1" customHeight="1" spans="1:12">
      <c r="A95" s="44"/>
      <c r="B95" s="44"/>
      <c r="C95" s="44"/>
      <c r="D95" s="44"/>
      <c r="E95" s="44"/>
      <c r="F95" s="44"/>
      <c r="G95" s="45"/>
      <c r="H95" s="45" t="s">
        <v>108</v>
      </c>
      <c r="I95" s="47" t="s">
        <v>206</v>
      </c>
      <c r="J95" s="61">
        <v>99</v>
      </c>
      <c r="K95" s="45">
        <v>99</v>
      </c>
      <c r="L95" s="48">
        <f t="shared" si="2"/>
        <v>0</v>
      </c>
    </row>
    <row r="96" s="30" customFormat="1" customHeight="1" spans="1:12">
      <c r="A96" s="44"/>
      <c r="B96" s="44"/>
      <c r="C96" s="44"/>
      <c r="D96" s="44"/>
      <c r="E96" s="44"/>
      <c r="F96" s="44"/>
      <c r="G96" s="45"/>
      <c r="H96" s="45" t="s">
        <v>106</v>
      </c>
      <c r="I96" s="47" t="s">
        <v>207</v>
      </c>
      <c r="J96" s="45">
        <v>20.846068</v>
      </c>
      <c r="K96" s="45">
        <v>20.846068</v>
      </c>
      <c r="L96" s="48">
        <f t="shared" si="2"/>
        <v>0</v>
      </c>
    </row>
    <row r="97" s="30" customFormat="1" customHeight="1" spans="1:12">
      <c r="A97" s="44"/>
      <c r="B97" s="44"/>
      <c r="C97" s="44"/>
      <c r="D97" s="44"/>
      <c r="E97" s="44"/>
      <c r="F97" s="44" t="s">
        <v>176</v>
      </c>
      <c r="G97" s="45">
        <v>15</v>
      </c>
      <c r="H97" s="45" t="s">
        <v>106</v>
      </c>
      <c r="I97" s="47" t="s">
        <v>208</v>
      </c>
      <c r="J97" s="61">
        <v>15</v>
      </c>
      <c r="K97" s="45">
        <v>15</v>
      </c>
      <c r="L97" s="48">
        <f t="shared" si="2"/>
        <v>0</v>
      </c>
    </row>
    <row r="98" s="28" customFormat="1" customHeight="1" spans="1:13">
      <c r="A98" s="44">
        <v>16</v>
      </c>
      <c r="B98" s="44" t="s">
        <v>100</v>
      </c>
      <c r="C98" s="44" t="s">
        <v>151</v>
      </c>
      <c r="D98" s="44" t="s">
        <v>209</v>
      </c>
      <c r="E98" s="44" t="s">
        <v>210</v>
      </c>
      <c r="F98" s="44" t="s">
        <v>58</v>
      </c>
      <c r="G98" s="45">
        <v>360</v>
      </c>
      <c r="H98" s="45" t="s">
        <v>147</v>
      </c>
      <c r="I98" s="47" t="s">
        <v>211</v>
      </c>
      <c r="J98" s="61">
        <v>360</v>
      </c>
      <c r="K98" s="45">
        <f>33.03774+32.285552+196.671661+44.155003+47.262769+4.571663+2.015612</f>
        <v>360</v>
      </c>
      <c r="L98" s="48">
        <f t="shared" si="2"/>
        <v>0</v>
      </c>
      <c r="M98" s="29"/>
    </row>
    <row r="99" s="28" customFormat="1" customHeight="1" spans="1:13">
      <c r="A99" s="44"/>
      <c r="B99" s="44"/>
      <c r="C99" s="44"/>
      <c r="D99" s="44"/>
      <c r="E99" s="44"/>
      <c r="F99" s="44" t="s">
        <v>61</v>
      </c>
      <c r="G99" s="45">
        <v>300</v>
      </c>
      <c r="H99" s="45" t="s">
        <v>147</v>
      </c>
      <c r="I99" s="47" t="s">
        <v>212</v>
      </c>
      <c r="J99" s="45">
        <v>300</v>
      </c>
      <c r="K99" s="45">
        <f>5+212.788926+52.389755+28.277353+1.543966</f>
        <v>300</v>
      </c>
      <c r="L99" s="48">
        <f t="shared" si="2"/>
        <v>0</v>
      </c>
      <c r="M99" s="29"/>
    </row>
    <row r="100" s="28" customFormat="1" customHeight="1" spans="1:13">
      <c r="A100" s="44"/>
      <c r="B100" s="44"/>
      <c r="C100" s="44"/>
      <c r="D100" s="44"/>
      <c r="E100" s="44"/>
      <c r="F100" s="44" t="s">
        <v>53</v>
      </c>
      <c r="G100" s="45">
        <v>1000</v>
      </c>
      <c r="H100" s="45" t="s">
        <v>106</v>
      </c>
      <c r="I100" s="47" t="s">
        <v>213</v>
      </c>
      <c r="J100" s="45">
        <v>258.376234</v>
      </c>
      <c r="K100" s="45">
        <v>1000</v>
      </c>
      <c r="L100" s="48">
        <v>0</v>
      </c>
      <c r="M100" s="29"/>
    </row>
    <row r="101" s="28" customFormat="1" customHeight="1" spans="1:13">
      <c r="A101" s="44"/>
      <c r="B101" s="44"/>
      <c r="C101" s="44"/>
      <c r="D101" s="44"/>
      <c r="E101" s="44"/>
      <c r="F101" s="44"/>
      <c r="G101" s="45"/>
      <c r="H101" s="45" t="s">
        <v>106</v>
      </c>
      <c r="I101" s="47" t="s">
        <v>187</v>
      </c>
      <c r="J101" s="45">
        <v>39.227811</v>
      </c>
      <c r="K101" s="45"/>
      <c r="L101" s="48"/>
      <c r="M101" s="29"/>
    </row>
    <row r="102" s="28" customFormat="1" customHeight="1" spans="1:13">
      <c r="A102" s="44"/>
      <c r="B102" s="44"/>
      <c r="C102" s="44"/>
      <c r="D102" s="44"/>
      <c r="E102" s="44"/>
      <c r="F102" s="44"/>
      <c r="G102" s="45"/>
      <c r="H102" s="45" t="s">
        <v>106</v>
      </c>
      <c r="I102" s="47" t="s">
        <v>214</v>
      </c>
      <c r="J102" s="45">
        <v>445.575955</v>
      </c>
      <c r="K102" s="45"/>
      <c r="L102" s="48"/>
      <c r="M102" s="29"/>
    </row>
    <row r="103" s="28" customFormat="1" customHeight="1" spans="1:13">
      <c r="A103" s="44"/>
      <c r="B103" s="44"/>
      <c r="C103" s="44"/>
      <c r="D103" s="44"/>
      <c r="E103" s="44"/>
      <c r="F103" s="44"/>
      <c r="G103" s="45"/>
      <c r="H103" s="45" t="s">
        <v>106</v>
      </c>
      <c r="I103" s="47" t="s">
        <v>215</v>
      </c>
      <c r="J103" s="45">
        <v>256.82</v>
      </c>
      <c r="K103" s="45"/>
      <c r="L103" s="48"/>
      <c r="M103" s="29"/>
    </row>
    <row r="104" s="28" customFormat="1" customHeight="1" spans="1:12">
      <c r="A104" s="44"/>
      <c r="B104" s="44"/>
      <c r="C104" s="44"/>
      <c r="D104" s="44"/>
      <c r="E104" s="44"/>
      <c r="F104" s="44" t="s">
        <v>49</v>
      </c>
      <c r="G104" s="45">
        <v>200</v>
      </c>
      <c r="H104" s="45" t="s">
        <v>106</v>
      </c>
      <c r="I104" s="47" t="s">
        <v>158</v>
      </c>
      <c r="J104" s="61">
        <v>200</v>
      </c>
      <c r="K104" s="45">
        <v>200</v>
      </c>
      <c r="L104" s="48">
        <f>J104-K104</f>
        <v>0</v>
      </c>
    </row>
    <row r="105" s="28" customFormat="1" customHeight="1" spans="1:12">
      <c r="A105" s="44"/>
      <c r="B105" s="44"/>
      <c r="C105" s="44"/>
      <c r="D105" s="44"/>
      <c r="E105" s="44"/>
      <c r="F105" s="44" t="s">
        <v>51</v>
      </c>
      <c r="G105" s="45">
        <v>1500</v>
      </c>
      <c r="H105" s="45" t="s">
        <v>106</v>
      </c>
      <c r="I105" s="47" t="s">
        <v>216</v>
      </c>
      <c r="J105" s="61">
        <v>700</v>
      </c>
      <c r="K105" s="45">
        <f>932.418322+561.704325+5.481162+0.396191</f>
        <v>1500</v>
      </c>
      <c r="L105" s="48">
        <v>0</v>
      </c>
    </row>
    <row r="106" s="28" customFormat="1" customHeight="1" spans="1:12">
      <c r="A106" s="44"/>
      <c r="B106" s="44"/>
      <c r="C106" s="44"/>
      <c r="D106" s="44"/>
      <c r="E106" s="44"/>
      <c r="F106" s="44"/>
      <c r="G106" s="45"/>
      <c r="H106" s="45" t="s">
        <v>106</v>
      </c>
      <c r="I106" s="47" t="s">
        <v>217</v>
      </c>
      <c r="J106" s="61">
        <v>536.9</v>
      </c>
      <c r="K106" s="45"/>
      <c r="L106" s="48"/>
    </row>
    <row r="107" s="28" customFormat="1" customHeight="1" spans="1:12">
      <c r="A107" s="44"/>
      <c r="B107" s="44"/>
      <c r="C107" s="44"/>
      <c r="D107" s="44"/>
      <c r="E107" s="44"/>
      <c r="F107" s="44"/>
      <c r="G107" s="45"/>
      <c r="H107" s="45" t="s">
        <v>106</v>
      </c>
      <c r="I107" s="47" t="s">
        <v>218</v>
      </c>
      <c r="J107" s="61">
        <v>263.1</v>
      </c>
      <c r="K107" s="45"/>
      <c r="L107" s="48"/>
    </row>
    <row r="108" s="28" customFormat="1" customHeight="1" spans="1:12">
      <c r="A108" s="44"/>
      <c r="B108" s="44"/>
      <c r="C108" s="44"/>
      <c r="D108" s="44"/>
      <c r="E108" s="44"/>
      <c r="F108" s="44" t="s">
        <v>50</v>
      </c>
      <c r="G108" s="45">
        <v>2367</v>
      </c>
      <c r="H108" s="45" t="s">
        <v>106</v>
      </c>
      <c r="I108" s="47" t="s">
        <v>132</v>
      </c>
      <c r="J108" s="61">
        <v>2367</v>
      </c>
      <c r="K108" s="45">
        <v>2367</v>
      </c>
      <c r="L108" s="48">
        <f>J108-K108</f>
        <v>0</v>
      </c>
    </row>
    <row r="109" s="27" customFormat="1" customHeight="1" spans="1:13">
      <c r="A109" s="43">
        <v>17</v>
      </c>
      <c r="B109" s="44" t="s">
        <v>116</v>
      </c>
      <c r="C109" s="44" t="s">
        <v>151</v>
      </c>
      <c r="D109" s="44" t="s">
        <v>219</v>
      </c>
      <c r="E109" s="44" t="s">
        <v>11</v>
      </c>
      <c r="F109" s="44" t="s">
        <v>49</v>
      </c>
      <c r="G109" s="45">
        <f>2300-G110-G111-G112</f>
        <v>1824.1643</v>
      </c>
      <c r="H109" s="45" t="s">
        <v>106</v>
      </c>
      <c r="I109" s="47" t="s">
        <v>139</v>
      </c>
      <c r="J109" s="45">
        <f>2300-J110-J111-J112</f>
        <v>1824.1643</v>
      </c>
      <c r="K109" s="48">
        <v>793.8634</v>
      </c>
      <c r="L109" s="48">
        <f t="shared" ref="L109:L141" si="3">J109-K109</f>
        <v>1030.3009</v>
      </c>
      <c r="M109" s="29"/>
    </row>
    <row r="110" customHeight="1" spans="1:13">
      <c r="A110" s="43"/>
      <c r="B110" s="44"/>
      <c r="C110" s="44"/>
      <c r="D110" s="44"/>
      <c r="E110" s="44"/>
      <c r="F110" s="44" t="s">
        <v>49</v>
      </c>
      <c r="G110" s="45">
        <v>150</v>
      </c>
      <c r="H110" s="45" t="s">
        <v>106</v>
      </c>
      <c r="I110" s="47" t="s">
        <v>220</v>
      </c>
      <c r="J110" s="45">
        <v>150</v>
      </c>
      <c r="K110" s="48">
        <v>0</v>
      </c>
      <c r="L110" s="48">
        <f t="shared" si="3"/>
        <v>150</v>
      </c>
      <c r="M110" s="29"/>
    </row>
    <row r="111" customHeight="1" spans="1:13">
      <c r="A111" s="43"/>
      <c r="B111" s="44"/>
      <c r="C111" s="44"/>
      <c r="D111" s="44"/>
      <c r="E111" s="44"/>
      <c r="F111" s="44" t="s">
        <v>50</v>
      </c>
      <c r="G111" s="45">
        <v>246.9825</v>
      </c>
      <c r="H111" s="45" t="s">
        <v>106</v>
      </c>
      <c r="I111" s="47" t="s">
        <v>221</v>
      </c>
      <c r="J111" s="45">
        <v>246.9825</v>
      </c>
      <c r="K111" s="45">
        <v>246.9825</v>
      </c>
      <c r="L111" s="48">
        <f t="shared" si="3"/>
        <v>0</v>
      </c>
      <c r="M111" s="29"/>
    </row>
    <row r="112" customHeight="1" spans="1:13">
      <c r="A112" s="43"/>
      <c r="B112" s="44"/>
      <c r="C112" s="44"/>
      <c r="D112" s="44"/>
      <c r="E112" s="44"/>
      <c r="F112" s="44" t="s">
        <v>60</v>
      </c>
      <c r="G112" s="45">
        <v>78.8532</v>
      </c>
      <c r="H112" s="45" t="s">
        <v>147</v>
      </c>
      <c r="I112" s="47" t="s">
        <v>222</v>
      </c>
      <c r="J112" s="45">
        <v>78.8532</v>
      </c>
      <c r="K112" s="48">
        <f>15.3552+63.498</f>
        <v>78.8532</v>
      </c>
      <c r="L112" s="48">
        <f t="shared" si="3"/>
        <v>0</v>
      </c>
      <c r="M112" s="29"/>
    </row>
    <row r="113" s="28" customFormat="1" customHeight="1" spans="1:12">
      <c r="A113" s="43">
        <v>18</v>
      </c>
      <c r="B113" s="44" t="s">
        <v>223</v>
      </c>
      <c r="C113" s="43" t="s">
        <v>224</v>
      </c>
      <c r="D113" s="44" t="s">
        <v>225</v>
      </c>
      <c r="E113" s="44" t="s">
        <v>19</v>
      </c>
      <c r="F113" s="44" t="s">
        <v>66</v>
      </c>
      <c r="G113" s="45">
        <f>SUM(J113:J120)</f>
        <v>1543.421601</v>
      </c>
      <c r="H113" s="45" t="s">
        <v>108</v>
      </c>
      <c r="I113" s="47" t="s">
        <v>226</v>
      </c>
      <c r="J113" s="48">
        <v>372.287691</v>
      </c>
      <c r="K113" s="48">
        <f>107.1773+2.5+14.5057</f>
        <v>124.183</v>
      </c>
      <c r="L113" s="48">
        <v>0</v>
      </c>
    </row>
    <row r="114" s="28" customFormat="1" customHeight="1" spans="1:12">
      <c r="A114" s="43"/>
      <c r="B114" s="44"/>
      <c r="C114" s="43"/>
      <c r="D114" s="44"/>
      <c r="E114" s="44"/>
      <c r="F114" s="44"/>
      <c r="G114" s="45"/>
      <c r="H114" s="45" t="s">
        <v>108</v>
      </c>
      <c r="I114" s="47" t="s">
        <v>227</v>
      </c>
      <c r="J114" s="48">
        <v>89.614699</v>
      </c>
      <c r="K114" s="48">
        <v>22.9849</v>
      </c>
      <c r="L114" s="48">
        <v>0</v>
      </c>
    </row>
    <row r="115" s="28" customFormat="1" customHeight="1" spans="1:12">
      <c r="A115" s="43"/>
      <c r="B115" s="44"/>
      <c r="C115" s="43"/>
      <c r="D115" s="44"/>
      <c r="E115" s="44"/>
      <c r="F115" s="44"/>
      <c r="G115" s="45"/>
      <c r="H115" s="45" t="s">
        <v>106</v>
      </c>
      <c r="I115" s="47" t="s">
        <v>128</v>
      </c>
      <c r="J115" s="48">
        <v>5.79</v>
      </c>
      <c r="K115" s="48">
        <v>5.79</v>
      </c>
      <c r="L115" s="48">
        <v>0</v>
      </c>
    </row>
    <row r="116" s="28" customFormat="1" customHeight="1" spans="1:12">
      <c r="A116" s="43"/>
      <c r="B116" s="44"/>
      <c r="C116" s="43"/>
      <c r="D116" s="44"/>
      <c r="E116" s="44"/>
      <c r="F116" s="44"/>
      <c r="G116" s="45"/>
      <c r="H116" s="45" t="s">
        <v>106</v>
      </c>
      <c r="I116" s="50" t="s">
        <v>228</v>
      </c>
      <c r="J116" s="46">
        <v>652.396143</v>
      </c>
      <c r="K116" s="46">
        <f>305.925465+36.098918+75.605817</f>
        <v>417.6302</v>
      </c>
      <c r="L116" s="48">
        <v>0</v>
      </c>
    </row>
    <row r="117" s="28" customFormat="1" customHeight="1" spans="1:12">
      <c r="A117" s="43"/>
      <c r="B117" s="44"/>
      <c r="C117" s="43"/>
      <c r="D117" s="44"/>
      <c r="E117" s="44"/>
      <c r="F117" s="44"/>
      <c r="G117" s="45"/>
      <c r="H117" s="45" t="s">
        <v>108</v>
      </c>
      <c r="I117" s="50" t="s">
        <v>229</v>
      </c>
      <c r="J117" s="46">
        <v>194.503071</v>
      </c>
      <c r="K117" s="46">
        <v>36.302719</v>
      </c>
      <c r="L117" s="48">
        <v>0</v>
      </c>
    </row>
    <row r="118" s="28" customFormat="1" customHeight="1" spans="1:12">
      <c r="A118" s="43"/>
      <c r="B118" s="44"/>
      <c r="C118" s="43"/>
      <c r="D118" s="44"/>
      <c r="E118" s="44"/>
      <c r="F118" s="44"/>
      <c r="G118" s="45"/>
      <c r="H118" s="45" t="s">
        <v>106</v>
      </c>
      <c r="I118" s="50" t="s">
        <v>230</v>
      </c>
      <c r="J118" s="46">
        <v>98.0414</v>
      </c>
      <c r="K118" s="46">
        <v>98.0414</v>
      </c>
      <c r="L118" s="48">
        <v>0</v>
      </c>
    </row>
    <row r="119" s="28" customFormat="1" customHeight="1" spans="1:12">
      <c r="A119" s="43"/>
      <c r="B119" s="44"/>
      <c r="C119" s="43"/>
      <c r="D119" s="44"/>
      <c r="E119" s="44"/>
      <c r="F119" s="44"/>
      <c r="G119" s="45"/>
      <c r="H119" s="45" t="s">
        <v>147</v>
      </c>
      <c r="I119" s="50" t="s">
        <v>231</v>
      </c>
      <c r="J119" s="50">
        <v>10.304234</v>
      </c>
      <c r="K119" s="50">
        <v>10.304234</v>
      </c>
      <c r="L119" s="48">
        <v>0</v>
      </c>
    </row>
    <row r="120" s="28" customFormat="1" customHeight="1" spans="1:12">
      <c r="A120" s="43"/>
      <c r="B120" s="44"/>
      <c r="C120" s="43"/>
      <c r="D120" s="44"/>
      <c r="E120" s="44"/>
      <c r="F120" s="44"/>
      <c r="G120" s="45"/>
      <c r="H120" s="45" t="s">
        <v>108</v>
      </c>
      <c r="I120" s="50" t="s">
        <v>127</v>
      </c>
      <c r="J120" s="50">
        <v>120.484363</v>
      </c>
      <c r="K120" s="46">
        <v>36.1453</v>
      </c>
      <c r="L120" s="48">
        <v>0</v>
      </c>
    </row>
    <row r="121" s="28" customFormat="1" customHeight="1" spans="1:12">
      <c r="A121" s="43"/>
      <c r="B121" s="44"/>
      <c r="C121" s="43"/>
      <c r="D121" s="44"/>
      <c r="E121" s="44"/>
      <c r="F121" s="44" t="s">
        <v>49</v>
      </c>
      <c r="G121" s="46">
        <f>SUM(J121:J126)</f>
        <v>1556.578399</v>
      </c>
      <c r="H121" s="45" t="s">
        <v>137</v>
      </c>
      <c r="I121" s="50" t="s">
        <v>232</v>
      </c>
      <c r="J121" s="46">
        <v>273.556947</v>
      </c>
      <c r="K121" s="46">
        <v>65</v>
      </c>
      <c r="L121" s="48">
        <v>0</v>
      </c>
    </row>
    <row r="122" s="28" customFormat="1" customHeight="1" spans="1:12">
      <c r="A122" s="43"/>
      <c r="B122" s="44"/>
      <c r="C122" s="43"/>
      <c r="D122" s="44"/>
      <c r="E122" s="44"/>
      <c r="F122" s="44"/>
      <c r="G122" s="46"/>
      <c r="H122" s="45" t="s">
        <v>106</v>
      </c>
      <c r="I122" s="50" t="s">
        <v>233</v>
      </c>
      <c r="J122" s="46">
        <v>124.96</v>
      </c>
      <c r="K122" s="46">
        <f>12+112.96</f>
        <v>124.96</v>
      </c>
      <c r="L122" s="48">
        <v>0</v>
      </c>
    </row>
    <row r="123" s="28" customFormat="1" customHeight="1" spans="1:12">
      <c r="A123" s="43"/>
      <c r="B123" s="44"/>
      <c r="C123" s="43"/>
      <c r="D123" s="44"/>
      <c r="E123" s="44"/>
      <c r="F123" s="44"/>
      <c r="G123" s="46"/>
      <c r="H123" s="45" t="s">
        <v>108</v>
      </c>
      <c r="I123" s="50" t="s">
        <v>234</v>
      </c>
      <c r="J123" s="46">
        <v>333.2448</v>
      </c>
      <c r="K123" s="46">
        <v>333.2448</v>
      </c>
      <c r="L123" s="48">
        <v>0</v>
      </c>
    </row>
    <row r="124" s="28" customFormat="1" customHeight="1" spans="1:12">
      <c r="A124" s="43"/>
      <c r="B124" s="44"/>
      <c r="C124" s="43"/>
      <c r="D124" s="44"/>
      <c r="E124" s="44"/>
      <c r="F124" s="44"/>
      <c r="G124" s="46"/>
      <c r="H124" s="45" t="s">
        <v>106</v>
      </c>
      <c r="I124" s="50" t="s">
        <v>235</v>
      </c>
      <c r="J124" s="46">
        <v>265.870514</v>
      </c>
      <c r="K124" s="46">
        <f>145.504119+19.6389</f>
        <v>165.143019</v>
      </c>
      <c r="L124" s="48">
        <v>0</v>
      </c>
    </row>
    <row r="125" s="28" customFormat="1" customHeight="1" spans="1:12">
      <c r="A125" s="43"/>
      <c r="B125" s="44"/>
      <c r="C125" s="43"/>
      <c r="D125" s="44"/>
      <c r="E125" s="44"/>
      <c r="F125" s="44"/>
      <c r="G125" s="46"/>
      <c r="H125" s="45" t="s">
        <v>108</v>
      </c>
      <c r="I125" s="50" t="s">
        <v>236</v>
      </c>
      <c r="J125" s="46">
        <v>235.68535</v>
      </c>
      <c r="K125" s="46">
        <f>57.32285+104.5067+57.0473</f>
        <v>218.87685</v>
      </c>
      <c r="L125" s="48">
        <v>0</v>
      </c>
    </row>
    <row r="126" s="28" customFormat="1" customHeight="1" spans="1:12">
      <c r="A126" s="43"/>
      <c r="B126" s="44"/>
      <c r="C126" s="43"/>
      <c r="D126" s="44"/>
      <c r="E126" s="44"/>
      <c r="F126" s="44"/>
      <c r="G126" s="46"/>
      <c r="H126" s="45" t="s">
        <v>106</v>
      </c>
      <c r="I126" s="50" t="s">
        <v>237</v>
      </c>
      <c r="J126" s="50">
        <v>323.260788</v>
      </c>
      <c r="K126" s="50">
        <f>104.64897+61.8315</f>
        <v>166.48047</v>
      </c>
      <c r="L126" s="48">
        <v>0</v>
      </c>
    </row>
    <row r="127" s="27" customFormat="1" ht="23" customHeight="1" spans="1:12">
      <c r="A127" s="44">
        <v>19</v>
      </c>
      <c r="B127" s="44" t="s">
        <v>116</v>
      </c>
      <c r="C127" s="44" t="s">
        <v>224</v>
      </c>
      <c r="D127" s="44" t="s">
        <v>238</v>
      </c>
      <c r="E127" s="44" t="s">
        <v>15</v>
      </c>
      <c r="F127" s="44" t="s">
        <v>49</v>
      </c>
      <c r="G127" s="45">
        <f>J127+J128+J129</f>
        <v>698.5755</v>
      </c>
      <c r="H127" s="45" t="s">
        <v>106</v>
      </c>
      <c r="I127" s="50" t="s">
        <v>239</v>
      </c>
      <c r="J127" s="45">
        <v>200</v>
      </c>
      <c r="K127" s="45"/>
      <c r="L127" s="48">
        <f t="shared" si="3"/>
        <v>200</v>
      </c>
    </row>
    <row r="128" s="27" customFormat="1" ht="23" customHeight="1" spans="1:12">
      <c r="A128" s="44"/>
      <c r="B128" s="44"/>
      <c r="C128" s="44"/>
      <c r="D128" s="44"/>
      <c r="E128" s="44"/>
      <c r="F128" s="44"/>
      <c r="G128" s="45"/>
      <c r="H128" s="45" t="s">
        <v>104</v>
      </c>
      <c r="I128" s="45" t="s">
        <v>240</v>
      </c>
      <c r="J128" s="45">
        <v>198.5755</v>
      </c>
      <c r="K128" s="45"/>
      <c r="L128" s="48">
        <f t="shared" si="3"/>
        <v>198.5755</v>
      </c>
    </row>
    <row r="129" s="27" customFormat="1" ht="23" customHeight="1" spans="1:12">
      <c r="A129" s="44"/>
      <c r="B129" s="44"/>
      <c r="C129" s="44"/>
      <c r="D129" s="44"/>
      <c r="E129" s="44"/>
      <c r="F129" s="44"/>
      <c r="G129" s="45"/>
      <c r="H129" s="45" t="s">
        <v>108</v>
      </c>
      <c r="I129" s="50" t="s">
        <v>241</v>
      </c>
      <c r="J129" s="45">
        <v>300</v>
      </c>
      <c r="K129" s="45"/>
      <c r="L129" s="48">
        <f t="shared" si="3"/>
        <v>300</v>
      </c>
    </row>
    <row r="130" ht="23" customHeight="1" spans="1:12">
      <c r="A130" s="44"/>
      <c r="B130" s="44"/>
      <c r="C130" s="44"/>
      <c r="D130" s="44"/>
      <c r="E130" s="44"/>
      <c r="F130" s="44" t="s">
        <v>58</v>
      </c>
      <c r="G130" s="45">
        <v>180</v>
      </c>
      <c r="H130" s="45" t="s">
        <v>147</v>
      </c>
      <c r="I130" s="45" t="s">
        <v>242</v>
      </c>
      <c r="J130" s="45">
        <v>180</v>
      </c>
      <c r="K130" s="45"/>
      <c r="L130" s="48">
        <f t="shared" si="3"/>
        <v>180</v>
      </c>
    </row>
    <row r="131" ht="23" customHeight="1" spans="1:12">
      <c r="A131" s="44"/>
      <c r="B131" s="44"/>
      <c r="C131" s="44"/>
      <c r="D131" s="44"/>
      <c r="E131" s="44"/>
      <c r="F131" s="44" t="s">
        <v>52</v>
      </c>
      <c r="G131" s="45">
        <v>550</v>
      </c>
      <c r="H131" s="45" t="s">
        <v>106</v>
      </c>
      <c r="I131" s="45" t="s">
        <v>243</v>
      </c>
      <c r="J131" s="45">
        <v>550</v>
      </c>
      <c r="K131" s="45"/>
      <c r="L131" s="48">
        <f t="shared" si="3"/>
        <v>550</v>
      </c>
    </row>
    <row r="132" ht="23" customHeight="1" spans="1:12">
      <c r="A132" s="44"/>
      <c r="B132" s="44"/>
      <c r="C132" s="44"/>
      <c r="D132" s="44"/>
      <c r="E132" s="44"/>
      <c r="F132" s="44" t="s">
        <v>66</v>
      </c>
      <c r="G132" s="45">
        <v>600</v>
      </c>
      <c r="H132" s="45" t="s">
        <v>106</v>
      </c>
      <c r="I132" s="45" t="s">
        <v>128</v>
      </c>
      <c r="J132" s="45">
        <v>99.233191</v>
      </c>
      <c r="K132" s="45"/>
      <c r="L132" s="48">
        <f t="shared" si="3"/>
        <v>99.233191</v>
      </c>
    </row>
    <row r="133" ht="23" customHeight="1" spans="1:12">
      <c r="A133" s="44"/>
      <c r="B133" s="44"/>
      <c r="C133" s="44"/>
      <c r="D133" s="44"/>
      <c r="E133" s="44"/>
      <c r="F133" s="44"/>
      <c r="G133" s="45"/>
      <c r="H133" s="45" t="s">
        <v>106</v>
      </c>
      <c r="I133" s="50" t="s">
        <v>230</v>
      </c>
      <c r="J133" s="45">
        <v>7.681444</v>
      </c>
      <c r="K133" s="45"/>
      <c r="L133" s="48">
        <f t="shared" si="3"/>
        <v>7.681444</v>
      </c>
    </row>
    <row r="134" ht="23" customHeight="1" spans="1:12">
      <c r="A134" s="44"/>
      <c r="B134" s="44"/>
      <c r="C134" s="44"/>
      <c r="D134" s="44"/>
      <c r="E134" s="44"/>
      <c r="F134" s="44"/>
      <c r="G134" s="45"/>
      <c r="H134" s="45" t="s">
        <v>106</v>
      </c>
      <c r="I134" s="45" t="s">
        <v>228</v>
      </c>
      <c r="J134" s="45">
        <v>275.719129</v>
      </c>
      <c r="K134" s="45"/>
      <c r="L134" s="48">
        <f t="shared" si="3"/>
        <v>275.719129</v>
      </c>
    </row>
    <row r="135" ht="23" customHeight="1" spans="1:12">
      <c r="A135" s="44"/>
      <c r="B135" s="44"/>
      <c r="C135" s="44"/>
      <c r="D135" s="44"/>
      <c r="E135" s="44"/>
      <c r="F135" s="44"/>
      <c r="G135" s="45"/>
      <c r="H135" s="45" t="s">
        <v>147</v>
      </c>
      <c r="I135" s="50" t="s">
        <v>231</v>
      </c>
      <c r="J135" s="45">
        <v>0.195766000000001</v>
      </c>
      <c r="K135" s="45"/>
      <c r="L135" s="48">
        <f t="shared" si="3"/>
        <v>0.195766000000001</v>
      </c>
    </row>
    <row r="136" ht="23" customHeight="1" spans="1:12">
      <c r="A136" s="44"/>
      <c r="B136" s="44"/>
      <c r="C136" s="44"/>
      <c r="D136" s="44"/>
      <c r="E136" s="44"/>
      <c r="F136" s="44"/>
      <c r="G136" s="45"/>
      <c r="H136" s="45" t="s">
        <v>108</v>
      </c>
      <c r="I136" s="50" t="s">
        <v>227</v>
      </c>
      <c r="J136" s="45">
        <v>4.1819</v>
      </c>
      <c r="K136" s="45"/>
      <c r="L136" s="48">
        <f t="shared" si="3"/>
        <v>4.1819</v>
      </c>
    </row>
    <row r="137" ht="23" customHeight="1" spans="1:12">
      <c r="A137" s="44"/>
      <c r="B137" s="44"/>
      <c r="C137" s="44"/>
      <c r="D137" s="44"/>
      <c r="E137" s="44"/>
      <c r="F137" s="44"/>
      <c r="G137" s="45"/>
      <c r="H137" s="45" t="s">
        <v>108</v>
      </c>
      <c r="I137" s="50" t="s">
        <v>229</v>
      </c>
      <c r="J137" s="45">
        <v>3.25692900000001</v>
      </c>
      <c r="K137" s="45"/>
      <c r="L137" s="48">
        <f t="shared" si="3"/>
        <v>3.25692900000001</v>
      </c>
    </row>
    <row r="138" ht="23" customHeight="1" spans="1:12">
      <c r="A138" s="44"/>
      <c r="B138" s="44"/>
      <c r="C138" s="44"/>
      <c r="D138" s="44"/>
      <c r="E138" s="44"/>
      <c r="F138" s="44"/>
      <c r="G138" s="45"/>
      <c r="H138" s="45" t="s">
        <v>108</v>
      </c>
      <c r="I138" s="50" t="s">
        <v>127</v>
      </c>
      <c r="J138" s="45">
        <v>38.0193320000001</v>
      </c>
      <c r="K138" s="45"/>
      <c r="L138" s="48">
        <f t="shared" si="3"/>
        <v>38.0193320000001</v>
      </c>
    </row>
    <row r="139" ht="23" customHeight="1" spans="1:12">
      <c r="A139" s="44"/>
      <c r="B139" s="44"/>
      <c r="C139" s="44"/>
      <c r="D139" s="44"/>
      <c r="E139" s="44"/>
      <c r="F139" s="44"/>
      <c r="G139" s="45"/>
      <c r="H139" s="45" t="s">
        <v>106</v>
      </c>
      <c r="I139" s="45" t="s">
        <v>244</v>
      </c>
      <c r="J139" s="45">
        <v>48</v>
      </c>
      <c r="K139" s="45"/>
      <c r="L139" s="48">
        <f t="shared" si="3"/>
        <v>48</v>
      </c>
    </row>
    <row r="140" ht="23" customHeight="1" spans="1:12">
      <c r="A140" s="44"/>
      <c r="B140" s="44"/>
      <c r="C140" s="44"/>
      <c r="D140" s="44"/>
      <c r="E140" s="44"/>
      <c r="F140" s="44"/>
      <c r="G140" s="45"/>
      <c r="H140" s="45" t="s">
        <v>106</v>
      </c>
      <c r="I140" s="45" t="s">
        <v>245</v>
      </c>
      <c r="J140" s="45">
        <v>49</v>
      </c>
      <c r="K140" s="45"/>
      <c r="L140" s="48">
        <f t="shared" si="3"/>
        <v>49</v>
      </c>
    </row>
    <row r="141" ht="23" customHeight="1" spans="1:12">
      <c r="A141" s="44"/>
      <c r="B141" s="44"/>
      <c r="C141" s="44"/>
      <c r="D141" s="44"/>
      <c r="E141" s="44"/>
      <c r="F141" s="44"/>
      <c r="G141" s="45"/>
      <c r="H141" s="45" t="s">
        <v>106</v>
      </c>
      <c r="I141" s="45" t="s">
        <v>246</v>
      </c>
      <c r="J141" s="45">
        <v>47</v>
      </c>
      <c r="K141" s="45"/>
      <c r="L141" s="48">
        <f t="shared" si="3"/>
        <v>47</v>
      </c>
    </row>
    <row r="142" ht="23" customHeight="1" spans="1:12">
      <c r="A142" s="44"/>
      <c r="B142" s="44"/>
      <c r="C142" s="44"/>
      <c r="D142" s="44"/>
      <c r="E142" s="44"/>
      <c r="F142" s="44"/>
      <c r="G142" s="45"/>
      <c r="H142" s="45" t="s">
        <v>108</v>
      </c>
      <c r="I142" s="50" t="s">
        <v>226</v>
      </c>
      <c r="J142" s="45">
        <v>27.712309</v>
      </c>
      <c r="K142" s="45"/>
      <c r="L142" s="48">
        <f t="shared" ref="L142:L163" si="4">J142-K142</f>
        <v>27.712309</v>
      </c>
    </row>
    <row r="143" ht="23" customHeight="1" spans="1:12">
      <c r="A143" s="44"/>
      <c r="B143" s="44"/>
      <c r="C143" s="44"/>
      <c r="D143" s="44"/>
      <c r="E143" s="44"/>
      <c r="F143" s="62" t="s">
        <v>50</v>
      </c>
      <c r="G143" s="63">
        <v>91.4245</v>
      </c>
      <c r="H143" s="45" t="s">
        <v>106</v>
      </c>
      <c r="I143" s="45" t="s">
        <v>134</v>
      </c>
      <c r="J143" s="45">
        <v>46.9445</v>
      </c>
      <c r="K143" s="45"/>
      <c r="L143" s="48">
        <f t="shared" si="4"/>
        <v>46.9445</v>
      </c>
    </row>
    <row r="144" ht="23" customHeight="1" spans="1:12">
      <c r="A144" s="44"/>
      <c r="B144" s="44"/>
      <c r="C144" s="44"/>
      <c r="D144" s="44"/>
      <c r="E144" s="44"/>
      <c r="F144" s="64"/>
      <c r="G144" s="65"/>
      <c r="H144" s="45" t="s">
        <v>106</v>
      </c>
      <c r="I144" s="45" t="s">
        <v>247</v>
      </c>
      <c r="J144" s="45">
        <v>44.48</v>
      </c>
      <c r="K144" s="45"/>
      <c r="L144" s="48">
        <f t="shared" si="4"/>
        <v>44.48</v>
      </c>
    </row>
    <row r="145" ht="23" customHeight="1" spans="1:12">
      <c r="A145" s="44"/>
      <c r="B145" s="44"/>
      <c r="C145" s="44"/>
      <c r="D145" s="44"/>
      <c r="E145" s="44"/>
      <c r="F145" s="43" t="s">
        <v>62</v>
      </c>
      <c r="G145" s="48">
        <v>120</v>
      </c>
      <c r="H145" s="45" t="s">
        <v>147</v>
      </c>
      <c r="I145" s="45" t="s">
        <v>248</v>
      </c>
      <c r="J145" s="45">
        <v>120</v>
      </c>
      <c r="K145" s="45"/>
      <c r="L145" s="48">
        <f t="shared" si="4"/>
        <v>120</v>
      </c>
    </row>
    <row r="146" ht="23" customHeight="1" spans="1:12">
      <c r="A146" s="44"/>
      <c r="B146" s="44"/>
      <c r="C146" s="44"/>
      <c r="D146" s="44"/>
      <c r="E146" s="44"/>
      <c r="F146" s="44" t="s">
        <v>249</v>
      </c>
      <c r="G146" s="45">
        <v>60</v>
      </c>
      <c r="H146" s="45" t="s">
        <v>108</v>
      </c>
      <c r="I146" s="50" t="s">
        <v>250</v>
      </c>
      <c r="J146" s="45">
        <v>60</v>
      </c>
      <c r="K146" s="45"/>
      <c r="L146" s="48">
        <f t="shared" si="4"/>
        <v>60</v>
      </c>
    </row>
    <row r="147" s="31" customFormat="1" customHeight="1" spans="1:12">
      <c r="A147" s="50">
        <v>20</v>
      </c>
      <c r="B147" s="50" t="s">
        <v>116</v>
      </c>
      <c r="C147" s="50" t="s">
        <v>224</v>
      </c>
      <c r="D147" s="50" t="s">
        <v>251</v>
      </c>
      <c r="E147" s="50" t="s">
        <v>16</v>
      </c>
      <c r="F147" s="46" t="s">
        <v>49</v>
      </c>
      <c r="G147" s="50">
        <v>2360.5107</v>
      </c>
      <c r="H147" s="45" t="s">
        <v>106</v>
      </c>
      <c r="I147" s="46" t="s">
        <v>252</v>
      </c>
      <c r="J147" s="46">
        <v>278.270647</v>
      </c>
      <c r="K147" s="46">
        <v>118.954529</v>
      </c>
      <c r="L147" s="48">
        <f t="shared" si="4"/>
        <v>159.316118</v>
      </c>
    </row>
    <row r="148" s="31" customFormat="1" customHeight="1" spans="1:12">
      <c r="A148" s="50"/>
      <c r="B148" s="50"/>
      <c r="C148" s="50"/>
      <c r="D148" s="50"/>
      <c r="E148" s="50"/>
      <c r="F148" s="46"/>
      <c r="G148" s="50"/>
      <c r="H148" s="45" t="s">
        <v>108</v>
      </c>
      <c r="I148" s="50" t="s">
        <v>253</v>
      </c>
      <c r="J148" s="46">
        <v>98.41</v>
      </c>
      <c r="K148" s="46">
        <v>98.41</v>
      </c>
      <c r="L148" s="48">
        <f t="shared" si="4"/>
        <v>0</v>
      </c>
    </row>
    <row r="149" s="31" customFormat="1" customHeight="1" spans="1:12">
      <c r="A149" s="50"/>
      <c r="B149" s="50"/>
      <c r="C149" s="50"/>
      <c r="D149" s="50"/>
      <c r="E149" s="50"/>
      <c r="F149" s="46"/>
      <c r="G149" s="50"/>
      <c r="H149" s="45" t="s">
        <v>104</v>
      </c>
      <c r="I149" s="45" t="s">
        <v>240</v>
      </c>
      <c r="J149" s="46">
        <v>210</v>
      </c>
      <c r="K149" s="46">
        <v>139.414461</v>
      </c>
      <c r="L149" s="48">
        <f t="shared" si="4"/>
        <v>70.585539</v>
      </c>
    </row>
    <row r="150" s="31" customFormat="1" customHeight="1" spans="1:12">
      <c r="A150" s="50"/>
      <c r="B150" s="50"/>
      <c r="C150" s="50"/>
      <c r="D150" s="50"/>
      <c r="E150" s="50"/>
      <c r="F150" s="46"/>
      <c r="G150" s="50"/>
      <c r="H150" s="45" t="s">
        <v>108</v>
      </c>
      <c r="I150" s="50" t="s">
        <v>254</v>
      </c>
      <c r="J150" s="46">
        <v>0.057</v>
      </c>
      <c r="K150" s="46">
        <v>0.057</v>
      </c>
      <c r="L150" s="48">
        <f t="shared" si="4"/>
        <v>0</v>
      </c>
    </row>
    <row r="151" s="31" customFormat="1" customHeight="1" spans="1:12">
      <c r="A151" s="50"/>
      <c r="B151" s="50"/>
      <c r="C151" s="50"/>
      <c r="D151" s="50"/>
      <c r="E151" s="50"/>
      <c r="F151" s="46"/>
      <c r="G151" s="50"/>
      <c r="H151" s="45" t="s">
        <v>108</v>
      </c>
      <c r="I151" s="50" t="s">
        <v>142</v>
      </c>
      <c r="J151" s="46">
        <v>38.53</v>
      </c>
      <c r="K151" s="46"/>
      <c r="L151" s="48">
        <f t="shared" si="4"/>
        <v>38.53</v>
      </c>
    </row>
    <row r="152" s="31" customFormat="1" customHeight="1" spans="1:12">
      <c r="A152" s="50"/>
      <c r="B152" s="50"/>
      <c r="C152" s="50"/>
      <c r="D152" s="50"/>
      <c r="E152" s="50"/>
      <c r="F152" s="46"/>
      <c r="G152" s="50"/>
      <c r="H152" s="45" t="s">
        <v>106</v>
      </c>
      <c r="I152" s="46" t="s">
        <v>255</v>
      </c>
      <c r="J152" s="46">
        <v>1000</v>
      </c>
      <c r="K152" s="46">
        <v>29.801127</v>
      </c>
      <c r="L152" s="48">
        <f t="shared" si="4"/>
        <v>970.198873</v>
      </c>
    </row>
    <row r="153" s="31" customFormat="1" customHeight="1" spans="1:12">
      <c r="A153" s="50"/>
      <c r="B153" s="50"/>
      <c r="C153" s="50"/>
      <c r="D153" s="50"/>
      <c r="E153" s="50"/>
      <c r="F153" s="46"/>
      <c r="G153" s="50"/>
      <c r="H153" s="45" t="s">
        <v>137</v>
      </c>
      <c r="I153" s="45" t="s">
        <v>232</v>
      </c>
      <c r="J153" s="46">
        <v>162.843053</v>
      </c>
      <c r="K153" s="46"/>
      <c r="L153" s="48">
        <f t="shared" si="4"/>
        <v>162.843053</v>
      </c>
    </row>
    <row r="154" s="31" customFormat="1" customHeight="1" spans="1:12">
      <c r="A154" s="50"/>
      <c r="B154" s="50"/>
      <c r="C154" s="50"/>
      <c r="D154" s="50"/>
      <c r="E154" s="50"/>
      <c r="F154" s="46"/>
      <c r="G154" s="50"/>
      <c r="H154" s="45" t="s">
        <v>106</v>
      </c>
      <c r="I154" s="46" t="s">
        <v>256</v>
      </c>
      <c r="J154" s="46">
        <v>72.4</v>
      </c>
      <c r="K154" s="46"/>
      <c r="L154" s="48">
        <f t="shared" si="4"/>
        <v>72.4</v>
      </c>
    </row>
    <row r="155" s="31" customFormat="1" customHeight="1" spans="1:12">
      <c r="A155" s="50"/>
      <c r="B155" s="50"/>
      <c r="C155" s="50"/>
      <c r="D155" s="50"/>
      <c r="E155" s="50"/>
      <c r="F155" s="46"/>
      <c r="G155" s="50"/>
      <c r="H155" s="45" t="s">
        <v>108</v>
      </c>
      <c r="I155" s="50" t="s">
        <v>257</v>
      </c>
      <c r="J155" s="46">
        <v>500</v>
      </c>
      <c r="K155" s="46"/>
      <c r="L155" s="48">
        <f t="shared" si="4"/>
        <v>500</v>
      </c>
    </row>
    <row r="156" s="31" customFormat="1" customHeight="1" spans="1:12">
      <c r="A156" s="50"/>
      <c r="B156" s="50"/>
      <c r="C156" s="50"/>
      <c r="D156" s="50"/>
      <c r="E156" s="50"/>
      <c r="F156" s="50" t="s">
        <v>249</v>
      </c>
      <c r="G156" s="50">
        <v>90</v>
      </c>
      <c r="H156" s="45" t="s">
        <v>108</v>
      </c>
      <c r="I156" s="50" t="s">
        <v>250</v>
      </c>
      <c r="J156" s="50">
        <v>90</v>
      </c>
      <c r="K156" s="46"/>
      <c r="L156" s="48">
        <f t="shared" si="4"/>
        <v>90</v>
      </c>
    </row>
    <row r="157" s="31" customFormat="1" customHeight="1" spans="1:12">
      <c r="A157" s="50"/>
      <c r="B157" s="50"/>
      <c r="C157" s="50"/>
      <c r="D157" s="50"/>
      <c r="E157" s="50"/>
      <c r="F157" s="47" t="s">
        <v>54</v>
      </c>
      <c r="G157" s="46">
        <v>600</v>
      </c>
      <c r="H157" s="45" t="s">
        <v>106</v>
      </c>
      <c r="I157" s="45" t="s">
        <v>258</v>
      </c>
      <c r="J157" s="46">
        <v>565</v>
      </c>
      <c r="K157" s="46">
        <v>565</v>
      </c>
      <c r="L157" s="48">
        <f t="shared" si="4"/>
        <v>0</v>
      </c>
    </row>
    <row r="158" s="31" customFormat="1" customHeight="1" spans="1:12">
      <c r="A158" s="50"/>
      <c r="B158" s="50"/>
      <c r="C158" s="50"/>
      <c r="D158" s="50"/>
      <c r="E158" s="50"/>
      <c r="F158" s="47"/>
      <c r="G158" s="46"/>
      <c r="H158" s="45" t="s">
        <v>108</v>
      </c>
      <c r="I158" s="45" t="s">
        <v>259</v>
      </c>
      <c r="J158" s="46">
        <v>35</v>
      </c>
      <c r="K158" s="46">
        <v>35</v>
      </c>
      <c r="L158" s="48">
        <f t="shared" si="4"/>
        <v>0</v>
      </c>
    </row>
    <row r="159" s="31" customFormat="1" customHeight="1" spans="1:12">
      <c r="A159" s="50"/>
      <c r="B159" s="50"/>
      <c r="C159" s="50"/>
      <c r="D159" s="50"/>
      <c r="E159" s="50"/>
      <c r="F159" s="46" t="s">
        <v>260</v>
      </c>
      <c r="G159" s="46">
        <v>50</v>
      </c>
      <c r="H159" s="45" t="s">
        <v>147</v>
      </c>
      <c r="I159" s="45" t="s">
        <v>261</v>
      </c>
      <c r="J159" s="46">
        <v>50</v>
      </c>
      <c r="K159" s="46">
        <v>6.9</v>
      </c>
      <c r="L159" s="48">
        <f t="shared" si="4"/>
        <v>43.1</v>
      </c>
    </row>
    <row r="160" s="31" customFormat="1" customHeight="1" spans="1:12">
      <c r="A160" s="50"/>
      <c r="B160" s="50"/>
      <c r="C160" s="50"/>
      <c r="D160" s="50"/>
      <c r="E160" s="50"/>
      <c r="F160" s="44" t="s">
        <v>176</v>
      </c>
      <c r="G160" s="46">
        <v>35</v>
      </c>
      <c r="H160" s="45" t="s">
        <v>106</v>
      </c>
      <c r="I160" s="45" t="s">
        <v>208</v>
      </c>
      <c r="J160" s="46">
        <v>35</v>
      </c>
      <c r="K160" s="46"/>
      <c r="L160" s="48">
        <f t="shared" si="4"/>
        <v>35</v>
      </c>
    </row>
    <row r="161" s="31" customFormat="1" customHeight="1" spans="1:12">
      <c r="A161" s="50"/>
      <c r="B161" s="50"/>
      <c r="C161" s="50"/>
      <c r="D161" s="50"/>
      <c r="E161" s="50"/>
      <c r="F161" s="44" t="s">
        <v>59</v>
      </c>
      <c r="G161" s="50">
        <v>400</v>
      </c>
      <c r="H161" s="45" t="s">
        <v>147</v>
      </c>
      <c r="I161" s="50" t="s">
        <v>262</v>
      </c>
      <c r="J161" s="46">
        <v>400</v>
      </c>
      <c r="K161" s="46"/>
      <c r="L161" s="48">
        <f t="shared" si="4"/>
        <v>400</v>
      </c>
    </row>
    <row r="162" s="31" customFormat="1" customHeight="1" spans="1:12">
      <c r="A162" s="50"/>
      <c r="B162" s="50"/>
      <c r="C162" s="50"/>
      <c r="D162" s="50"/>
      <c r="E162" s="50"/>
      <c r="F162" s="46" t="s">
        <v>60</v>
      </c>
      <c r="G162" s="46">
        <v>291.1468</v>
      </c>
      <c r="H162" s="45" t="s">
        <v>106</v>
      </c>
      <c r="I162" s="45" t="s">
        <v>222</v>
      </c>
      <c r="J162" s="46">
        <v>291.1468</v>
      </c>
      <c r="K162" s="46">
        <v>198.21528</v>
      </c>
      <c r="L162" s="48">
        <f t="shared" si="4"/>
        <v>92.93152</v>
      </c>
    </row>
    <row r="163" s="31" customFormat="1" customHeight="1" spans="1:12">
      <c r="A163" s="50"/>
      <c r="B163" s="50"/>
      <c r="C163" s="50"/>
      <c r="D163" s="50"/>
      <c r="E163" s="50"/>
      <c r="F163" s="66" t="s">
        <v>62</v>
      </c>
      <c r="G163" s="66">
        <v>409.3425</v>
      </c>
      <c r="H163" s="45" t="s">
        <v>147</v>
      </c>
      <c r="I163" s="45" t="s">
        <v>263</v>
      </c>
      <c r="J163" s="46">
        <v>229.3425</v>
      </c>
      <c r="K163" s="46"/>
      <c r="L163" s="48">
        <f t="shared" si="4"/>
        <v>229.3425</v>
      </c>
    </row>
    <row r="164" s="31" customFormat="1" customHeight="1" spans="1:12">
      <c r="A164" s="50"/>
      <c r="B164" s="50"/>
      <c r="C164" s="50"/>
      <c r="D164" s="50"/>
      <c r="E164" s="50"/>
      <c r="F164" s="67"/>
      <c r="G164" s="67"/>
      <c r="H164" s="45" t="s">
        <v>147</v>
      </c>
      <c r="I164" s="45" t="s">
        <v>248</v>
      </c>
      <c r="J164" s="46">
        <v>180</v>
      </c>
      <c r="K164" s="46">
        <f>16.459926+163.540074</f>
        <v>180</v>
      </c>
      <c r="L164" s="48">
        <f t="shared" ref="L164:L191" si="5">J164-K164</f>
        <v>0</v>
      </c>
    </row>
    <row r="165" s="31" customFormat="1" customHeight="1" spans="1:12">
      <c r="A165" s="50"/>
      <c r="B165" s="50"/>
      <c r="C165" s="50"/>
      <c r="D165" s="50"/>
      <c r="E165" s="50"/>
      <c r="F165" s="46" t="s">
        <v>51</v>
      </c>
      <c r="G165" s="46">
        <v>350</v>
      </c>
      <c r="H165" s="45" t="s">
        <v>106</v>
      </c>
      <c r="I165" s="45" t="s">
        <v>264</v>
      </c>
      <c r="J165" s="46">
        <v>350</v>
      </c>
      <c r="K165" s="46">
        <v>75.73122</v>
      </c>
      <c r="L165" s="48">
        <f t="shared" si="5"/>
        <v>274.26878</v>
      </c>
    </row>
    <row r="166" s="31" customFormat="1" customHeight="1" spans="1:12">
      <c r="A166" s="50"/>
      <c r="B166" s="50"/>
      <c r="C166" s="50"/>
      <c r="D166" s="50"/>
      <c r="E166" s="50"/>
      <c r="F166" s="46" t="s">
        <v>50</v>
      </c>
      <c r="G166" s="46">
        <v>300</v>
      </c>
      <c r="H166" s="45" t="s">
        <v>106</v>
      </c>
      <c r="I166" s="45" t="s">
        <v>134</v>
      </c>
      <c r="J166" s="46">
        <v>273.0555</v>
      </c>
      <c r="K166" s="46"/>
      <c r="L166" s="48">
        <f t="shared" si="5"/>
        <v>273.0555</v>
      </c>
    </row>
    <row r="167" s="31" customFormat="1" customHeight="1" spans="1:12">
      <c r="A167" s="50"/>
      <c r="B167" s="50"/>
      <c r="C167" s="50"/>
      <c r="D167" s="50"/>
      <c r="E167" s="50"/>
      <c r="F167" s="46"/>
      <c r="G167" s="46"/>
      <c r="H167" s="45" t="s">
        <v>106</v>
      </c>
      <c r="I167" s="45" t="s">
        <v>177</v>
      </c>
      <c r="J167" s="46">
        <v>26.9445</v>
      </c>
      <c r="K167" s="46"/>
      <c r="L167" s="48">
        <f t="shared" si="5"/>
        <v>26.9445</v>
      </c>
    </row>
    <row r="168" customHeight="1" spans="1:12">
      <c r="A168" s="50">
        <v>21</v>
      </c>
      <c r="B168" s="50" t="s">
        <v>116</v>
      </c>
      <c r="C168" s="50" t="s">
        <v>224</v>
      </c>
      <c r="D168" s="50" t="s">
        <v>265</v>
      </c>
      <c r="E168" s="50" t="s">
        <v>17</v>
      </c>
      <c r="F168" s="68" t="s">
        <v>50</v>
      </c>
      <c r="G168" s="46">
        <v>787</v>
      </c>
      <c r="H168" s="45" t="s">
        <v>106</v>
      </c>
      <c r="I168" s="45" t="s">
        <v>266</v>
      </c>
      <c r="J168" s="68">
        <v>20.6925</v>
      </c>
      <c r="K168" s="70"/>
      <c r="L168" s="48">
        <f t="shared" si="5"/>
        <v>20.6925</v>
      </c>
    </row>
    <row r="169" customHeight="1" spans="1:12">
      <c r="A169" s="50"/>
      <c r="B169" s="50"/>
      <c r="C169" s="50"/>
      <c r="D169" s="50"/>
      <c r="E169" s="50"/>
      <c r="F169" s="68"/>
      <c r="G169" s="46"/>
      <c r="H169" s="45" t="s">
        <v>106</v>
      </c>
      <c r="I169" s="45" t="s">
        <v>221</v>
      </c>
      <c r="J169" s="68">
        <v>246.9825</v>
      </c>
      <c r="K169" s="70"/>
      <c r="L169" s="48">
        <f t="shared" si="5"/>
        <v>246.9825</v>
      </c>
    </row>
    <row r="170" customHeight="1" spans="1:12">
      <c r="A170" s="50"/>
      <c r="B170" s="50"/>
      <c r="C170" s="50"/>
      <c r="D170" s="50"/>
      <c r="E170" s="50"/>
      <c r="F170" s="68"/>
      <c r="G170" s="46"/>
      <c r="H170" s="45" t="s">
        <v>106</v>
      </c>
      <c r="I170" s="45" t="s">
        <v>132</v>
      </c>
      <c r="J170" s="68">
        <v>479.325</v>
      </c>
      <c r="K170" s="68">
        <v>479.325</v>
      </c>
      <c r="L170" s="48">
        <f t="shared" si="5"/>
        <v>0</v>
      </c>
    </row>
    <row r="171" customHeight="1" spans="1:12">
      <c r="A171" s="50"/>
      <c r="B171" s="50"/>
      <c r="C171" s="50"/>
      <c r="D171" s="50"/>
      <c r="E171" s="50"/>
      <c r="F171" s="68"/>
      <c r="G171" s="46"/>
      <c r="H171" s="45" t="s">
        <v>106</v>
      </c>
      <c r="I171" s="45" t="s">
        <v>133</v>
      </c>
      <c r="J171" s="68">
        <v>40</v>
      </c>
      <c r="K171" s="70"/>
      <c r="L171" s="48">
        <f t="shared" si="5"/>
        <v>40</v>
      </c>
    </row>
    <row r="172" s="27" customFormat="1" customHeight="1" spans="1:13">
      <c r="A172" s="50">
        <v>22</v>
      </c>
      <c r="B172" s="50" t="s">
        <v>116</v>
      </c>
      <c r="C172" s="50" t="s">
        <v>224</v>
      </c>
      <c r="D172" s="50" t="s">
        <v>267</v>
      </c>
      <c r="E172" s="50" t="s">
        <v>18</v>
      </c>
      <c r="F172" s="50" t="s">
        <v>49</v>
      </c>
      <c r="G172" s="46">
        <v>2157</v>
      </c>
      <c r="H172" s="45" t="s">
        <v>106</v>
      </c>
      <c r="I172" s="45" t="s">
        <v>252</v>
      </c>
      <c r="J172" s="50">
        <v>70</v>
      </c>
      <c r="K172" s="70"/>
      <c r="L172" s="48">
        <f t="shared" si="5"/>
        <v>70</v>
      </c>
      <c r="M172" s="27">
        <f>K172*10000</f>
        <v>0</v>
      </c>
    </row>
    <row r="173" s="27" customFormat="1" customHeight="1" spans="1:13">
      <c r="A173" s="50"/>
      <c r="B173" s="50"/>
      <c r="C173" s="50"/>
      <c r="D173" s="50"/>
      <c r="E173" s="50"/>
      <c r="F173" s="50"/>
      <c r="G173" s="46"/>
      <c r="H173" s="45" t="s">
        <v>108</v>
      </c>
      <c r="I173" s="45" t="s">
        <v>268</v>
      </c>
      <c r="J173" s="50">
        <v>65</v>
      </c>
      <c r="K173" s="70"/>
      <c r="L173" s="48">
        <f t="shared" si="5"/>
        <v>65</v>
      </c>
      <c r="M173" s="27">
        <f t="shared" ref="M173:M191" si="6">K173*10000</f>
        <v>0</v>
      </c>
    </row>
    <row r="174" s="27" customFormat="1" customHeight="1" spans="1:13">
      <c r="A174" s="50"/>
      <c r="B174" s="50"/>
      <c r="C174" s="50"/>
      <c r="D174" s="50"/>
      <c r="E174" s="50"/>
      <c r="F174" s="50"/>
      <c r="G174" s="46"/>
      <c r="H174" s="45" t="s">
        <v>108</v>
      </c>
      <c r="I174" s="45" t="s">
        <v>269</v>
      </c>
      <c r="J174" s="50">
        <v>100</v>
      </c>
      <c r="K174" s="70"/>
      <c r="L174" s="48">
        <f t="shared" si="5"/>
        <v>100</v>
      </c>
      <c r="M174" s="27">
        <f t="shared" si="6"/>
        <v>0</v>
      </c>
    </row>
    <row r="175" s="27" customFormat="1" customHeight="1" spans="1:13">
      <c r="A175" s="50"/>
      <c r="B175" s="50"/>
      <c r="C175" s="50"/>
      <c r="D175" s="50"/>
      <c r="E175" s="50"/>
      <c r="F175" s="50"/>
      <c r="G175" s="46"/>
      <c r="H175" s="45" t="s">
        <v>108</v>
      </c>
      <c r="I175" s="45" t="s">
        <v>270</v>
      </c>
      <c r="J175" s="50">
        <v>69.95</v>
      </c>
      <c r="K175" s="70"/>
      <c r="L175" s="48">
        <f t="shared" si="5"/>
        <v>69.95</v>
      </c>
      <c r="M175" s="27">
        <f t="shared" si="6"/>
        <v>0</v>
      </c>
    </row>
    <row r="176" s="27" customFormat="1" customHeight="1" spans="1:13">
      <c r="A176" s="50"/>
      <c r="B176" s="50"/>
      <c r="C176" s="50"/>
      <c r="D176" s="50"/>
      <c r="E176" s="50"/>
      <c r="F176" s="50"/>
      <c r="G176" s="46"/>
      <c r="H176" s="45" t="s">
        <v>108</v>
      </c>
      <c r="I176" s="45" t="s">
        <v>271</v>
      </c>
      <c r="J176" s="50">
        <v>39.5</v>
      </c>
      <c r="K176" s="70"/>
      <c r="L176" s="48">
        <f t="shared" si="5"/>
        <v>39.5</v>
      </c>
      <c r="M176" s="27">
        <f t="shared" si="6"/>
        <v>0</v>
      </c>
    </row>
    <row r="177" s="27" customFormat="1" customHeight="1" spans="1:13">
      <c r="A177" s="50"/>
      <c r="B177" s="50"/>
      <c r="C177" s="50"/>
      <c r="D177" s="50"/>
      <c r="E177" s="50"/>
      <c r="F177" s="50"/>
      <c r="G177" s="46"/>
      <c r="H177" s="45" t="s">
        <v>104</v>
      </c>
      <c r="I177" s="45" t="s">
        <v>272</v>
      </c>
      <c r="J177" s="50">
        <v>360</v>
      </c>
      <c r="K177" s="70">
        <v>360</v>
      </c>
      <c r="L177" s="48">
        <f t="shared" si="5"/>
        <v>0</v>
      </c>
      <c r="M177" s="27">
        <f t="shared" si="6"/>
        <v>3600000</v>
      </c>
    </row>
    <row r="178" s="27" customFormat="1" customHeight="1" spans="1:13">
      <c r="A178" s="50"/>
      <c r="B178" s="50"/>
      <c r="C178" s="50"/>
      <c r="D178" s="50"/>
      <c r="E178" s="50"/>
      <c r="F178" s="50"/>
      <c r="G178" s="46"/>
      <c r="H178" s="45" t="s">
        <v>104</v>
      </c>
      <c r="I178" s="45" t="s">
        <v>273</v>
      </c>
      <c r="J178" s="50">
        <v>571.4245</v>
      </c>
      <c r="K178" s="70">
        <f>30.768144+396.063921+38.854958+11.5+25.684913+3.02</f>
        <v>505.891936</v>
      </c>
      <c r="L178" s="48">
        <f t="shared" si="5"/>
        <v>65.532564</v>
      </c>
      <c r="M178" s="27">
        <f t="shared" si="6"/>
        <v>5058919.36</v>
      </c>
    </row>
    <row r="179" s="27" customFormat="1" customHeight="1" spans="1:13">
      <c r="A179" s="50"/>
      <c r="B179" s="50"/>
      <c r="C179" s="50"/>
      <c r="D179" s="50"/>
      <c r="E179" s="50"/>
      <c r="F179" s="50"/>
      <c r="G179" s="46"/>
      <c r="H179" s="45" t="s">
        <v>108</v>
      </c>
      <c r="I179" s="50" t="s">
        <v>274</v>
      </c>
      <c r="J179" s="50">
        <v>90.93</v>
      </c>
      <c r="K179" s="70"/>
      <c r="L179" s="48">
        <f t="shared" si="5"/>
        <v>90.93</v>
      </c>
      <c r="M179" s="27">
        <f t="shared" si="6"/>
        <v>0</v>
      </c>
    </row>
    <row r="180" s="27" customFormat="1" customHeight="1" spans="1:13">
      <c r="A180" s="50"/>
      <c r="B180" s="50"/>
      <c r="C180" s="50"/>
      <c r="D180" s="50"/>
      <c r="E180" s="50"/>
      <c r="F180" s="50"/>
      <c r="G180" s="46"/>
      <c r="H180" s="45" t="s">
        <v>108</v>
      </c>
      <c r="I180" s="50" t="s">
        <v>241</v>
      </c>
      <c r="J180" s="50">
        <v>63</v>
      </c>
      <c r="K180" s="70">
        <f>9+47</f>
        <v>56</v>
      </c>
      <c r="L180" s="48">
        <f t="shared" si="5"/>
        <v>7</v>
      </c>
      <c r="M180" s="27">
        <f t="shared" si="6"/>
        <v>560000</v>
      </c>
    </row>
    <row r="181" s="27" customFormat="1" customHeight="1" spans="1:13">
      <c r="A181" s="50"/>
      <c r="B181" s="50"/>
      <c r="C181" s="50"/>
      <c r="D181" s="50"/>
      <c r="E181" s="50"/>
      <c r="F181" s="50"/>
      <c r="G181" s="46"/>
      <c r="H181" s="45" t="s">
        <v>106</v>
      </c>
      <c r="I181" s="50" t="s">
        <v>235</v>
      </c>
      <c r="J181" s="50">
        <v>327.1955</v>
      </c>
      <c r="K181" s="70">
        <f>250.310928+14.785373</f>
        <v>265.096301</v>
      </c>
      <c r="L181" s="48">
        <f t="shared" si="5"/>
        <v>62.099199</v>
      </c>
      <c r="M181" s="27">
        <f t="shared" si="6"/>
        <v>2650963.01</v>
      </c>
    </row>
    <row r="182" s="27" customFormat="1" customHeight="1" spans="1:13">
      <c r="A182" s="50"/>
      <c r="B182" s="50"/>
      <c r="C182" s="50"/>
      <c r="D182" s="50"/>
      <c r="E182" s="50"/>
      <c r="F182" s="50"/>
      <c r="G182" s="46"/>
      <c r="H182" s="45" t="s">
        <v>108</v>
      </c>
      <c r="I182" s="50" t="s">
        <v>257</v>
      </c>
      <c r="J182" s="50">
        <v>300</v>
      </c>
      <c r="K182" s="70"/>
      <c r="L182" s="48">
        <f t="shared" si="5"/>
        <v>300</v>
      </c>
      <c r="M182" s="27">
        <f t="shared" si="6"/>
        <v>0</v>
      </c>
    </row>
    <row r="183" s="27" customFormat="1" customHeight="1" spans="1:13">
      <c r="A183" s="50"/>
      <c r="B183" s="50"/>
      <c r="C183" s="50"/>
      <c r="D183" s="50"/>
      <c r="E183" s="50"/>
      <c r="F183" s="50"/>
      <c r="G183" s="46"/>
      <c r="H183" s="45" t="s">
        <v>106</v>
      </c>
      <c r="I183" s="50" t="s">
        <v>239</v>
      </c>
      <c r="J183" s="50">
        <v>100</v>
      </c>
      <c r="K183" s="70"/>
      <c r="L183" s="48">
        <f t="shared" si="5"/>
        <v>100</v>
      </c>
      <c r="M183" s="27">
        <f t="shared" si="6"/>
        <v>0</v>
      </c>
    </row>
    <row r="184" customHeight="1" spans="1:13">
      <c r="A184" s="50"/>
      <c r="B184" s="50"/>
      <c r="C184" s="50"/>
      <c r="D184" s="50"/>
      <c r="E184" s="50"/>
      <c r="F184" s="50" t="s">
        <v>50</v>
      </c>
      <c r="G184" s="46">
        <v>799.0175</v>
      </c>
      <c r="H184" s="45" t="s">
        <v>106</v>
      </c>
      <c r="I184" s="50" t="s">
        <v>266</v>
      </c>
      <c r="J184" s="50">
        <v>79.3075</v>
      </c>
      <c r="K184" s="70"/>
      <c r="L184" s="48">
        <f t="shared" si="5"/>
        <v>79.3075</v>
      </c>
      <c r="M184" s="27">
        <f t="shared" si="6"/>
        <v>0</v>
      </c>
    </row>
    <row r="185" customHeight="1" spans="1:13">
      <c r="A185" s="50"/>
      <c r="B185" s="50"/>
      <c r="C185" s="50"/>
      <c r="D185" s="50"/>
      <c r="E185" s="50"/>
      <c r="F185" s="50"/>
      <c r="G185" s="46"/>
      <c r="H185" s="45" t="s">
        <v>106</v>
      </c>
      <c r="I185" s="50" t="s">
        <v>247</v>
      </c>
      <c r="J185" s="50">
        <v>719.71</v>
      </c>
      <c r="K185" s="70"/>
      <c r="L185" s="48">
        <f t="shared" si="5"/>
        <v>719.71</v>
      </c>
      <c r="M185" s="27">
        <f t="shared" si="6"/>
        <v>0</v>
      </c>
    </row>
    <row r="186" customHeight="1" spans="1:13">
      <c r="A186" s="50"/>
      <c r="B186" s="50"/>
      <c r="C186" s="50"/>
      <c r="D186" s="50"/>
      <c r="E186" s="50"/>
      <c r="F186" s="50" t="s">
        <v>59</v>
      </c>
      <c r="G186" s="69">
        <v>260</v>
      </c>
      <c r="H186" s="45" t="s">
        <v>147</v>
      </c>
      <c r="I186" s="45" t="s">
        <v>262</v>
      </c>
      <c r="J186" s="69">
        <v>260</v>
      </c>
      <c r="K186" s="70">
        <v>256.84872</v>
      </c>
      <c r="L186" s="48">
        <f t="shared" si="5"/>
        <v>3.15127999999999</v>
      </c>
      <c r="M186" s="27">
        <f t="shared" si="6"/>
        <v>2568487.2</v>
      </c>
    </row>
    <row r="187" customHeight="1" spans="1:13">
      <c r="A187" s="50"/>
      <c r="B187" s="50"/>
      <c r="C187" s="50"/>
      <c r="D187" s="50"/>
      <c r="E187" s="50"/>
      <c r="F187" s="50" t="s">
        <v>58</v>
      </c>
      <c r="G187" s="50">
        <v>300</v>
      </c>
      <c r="H187" s="45" t="s">
        <v>147</v>
      </c>
      <c r="I187" s="45" t="s">
        <v>242</v>
      </c>
      <c r="J187" s="50">
        <v>300</v>
      </c>
      <c r="K187" s="70">
        <v>3.678688</v>
      </c>
      <c r="L187" s="48">
        <f t="shared" si="5"/>
        <v>296.321312</v>
      </c>
      <c r="M187" s="27">
        <f t="shared" si="6"/>
        <v>36786.88</v>
      </c>
    </row>
    <row r="188" customHeight="1" spans="1:13">
      <c r="A188" s="50"/>
      <c r="B188" s="50"/>
      <c r="C188" s="50"/>
      <c r="D188" s="50"/>
      <c r="E188" s="50"/>
      <c r="F188" s="50" t="s">
        <v>65</v>
      </c>
      <c r="G188" s="50">
        <v>290</v>
      </c>
      <c r="H188" s="45" t="s">
        <v>106</v>
      </c>
      <c r="I188" s="45" t="s">
        <v>275</v>
      </c>
      <c r="J188" s="50">
        <v>290</v>
      </c>
      <c r="K188" s="70">
        <f>135.7115+4.2346</f>
        <v>139.9461</v>
      </c>
      <c r="L188" s="48">
        <f t="shared" si="5"/>
        <v>150.0539</v>
      </c>
      <c r="M188" s="27">
        <f t="shared" si="6"/>
        <v>1399461</v>
      </c>
    </row>
    <row r="189" customHeight="1" spans="1:13">
      <c r="A189" s="50"/>
      <c r="B189" s="50"/>
      <c r="C189" s="50"/>
      <c r="D189" s="50"/>
      <c r="E189" s="50"/>
      <c r="F189" s="46" t="s">
        <v>62</v>
      </c>
      <c r="G189" s="50">
        <v>70.6575</v>
      </c>
      <c r="H189" s="45" t="s">
        <v>147</v>
      </c>
      <c r="I189" s="45" t="s">
        <v>263</v>
      </c>
      <c r="J189" s="50">
        <v>70.6575</v>
      </c>
      <c r="K189" s="70"/>
      <c r="L189" s="48">
        <f t="shared" si="5"/>
        <v>70.6575</v>
      </c>
      <c r="M189" s="27">
        <f t="shared" si="6"/>
        <v>0</v>
      </c>
    </row>
    <row r="190" customHeight="1" spans="1:13">
      <c r="A190" s="50"/>
      <c r="B190" s="50"/>
      <c r="C190" s="50"/>
      <c r="D190" s="50"/>
      <c r="E190" s="50"/>
      <c r="F190" s="50" t="s">
        <v>68</v>
      </c>
      <c r="G190" s="50">
        <v>100.325</v>
      </c>
      <c r="H190" s="45" t="s">
        <v>106</v>
      </c>
      <c r="I190" s="50" t="s">
        <v>276</v>
      </c>
      <c r="J190" s="50">
        <v>100.325</v>
      </c>
      <c r="K190" s="70"/>
      <c r="L190" s="48">
        <f t="shared" si="5"/>
        <v>100.325</v>
      </c>
      <c r="M190" s="27">
        <f t="shared" si="6"/>
        <v>0</v>
      </c>
    </row>
    <row r="191" customHeight="1" spans="1:13">
      <c r="A191" s="50"/>
      <c r="B191" s="50"/>
      <c r="C191" s="50"/>
      <c r="D191" s="50"/>
      <c r="E191" s="50"/>
      <c r="F191" s="50" t="s">
        <v>52</v>
      </c>
      <c r="G191" s="50">
        <v>550</v>
      </c>
      <c r="H191" s="45" t="s">
        <v>106</v>
      </c>
      <c r="I191" s="45" t="s">
        <v>243</v>
      </c>
      <c r="J191" s="50">
        <v>550</v>
      </c>
      <c r="K191" s="70">
        <f>259.008595+65.781685</f>
        <v>324.79028</v>
      </c>
      <c r="L191" s="48">
        <f t="shared" si="5"/>
        <v>225.20972</v>
      </c>
      <c r="M191" s="27">
        <f t="shared" si="6"/>
        <v>3247902.8</v>
      </c>
    </row>
    <row r="192" s="27" customFormat="1" customHeight="1" spans="1:12">
      <c r="A192" s="44">
        <v>24</v>
      </c>
      <c r="B192" s="44" t="s">
        <v>150</v>
      </c>
      <c r="C192" s="44" t="s">
        <v>224</v>
      </c>
      <c r="D192" s="44" t="s">
        <v>277</v>
      </c>
      <c r="E192" s="44" t="s">
        <v>13</v>
      </c>
      <c r="F192" s="68" t="s">
        <v>49</v>
      </c>
      <c r="G192" s="45">
        <v>7001.6905</v>
      </c>
      <c r="H192" s="45" t="s">
        <v>108</v>
      </c>
      <c r="I192" s="45" t="s">
        <v>278</v>
      </c>
      <c r="J192" s="45">
        <v>162.5</v>
      </c>
      <c r="K192" s="48">
        <v>33.98</v>
      </c>
      <c r="L192" s="48">
        <f t="shared" ref="L192:L221" si="7">J192-K192</f>
        <v>128.52</v>
      </c>
    </row>
    <row r="193" s="27" customFormat="1" customHeight="1" spans="1:12">
      <c r="A193" s="44"/>
      <c r="B193" s="44"/>
      <c r="C193" s="44"/>
      <c r="D193" s="44"/>
      <c r="E193" s="44"/>
      <c r="F193" s="68"/>
      <c r="G193" s="45"/>
      <c r="H193" s="45" t="s">
        <v>106</v>
      </c>
      <c r="I193" s="45" t="s">
        <v>279</v>
      </c>
      <c r="J193" s="45">
        <v>1000</v>
      </c>
      <c r="K193" s="48">
        <v>44.52</v>
      </c>
      <c r="L193" s="48">
        <f t="shared" si="7"/>
        <v>955.48</v>
      </c>
    </row>
    <row r="194" s="27" customFormat="1" customHeight="1" spans="1:12">
      <c r="A194" s="44"/>
      <c r="B194" s="44"/>
      <c r="C194" s="44"/>
      <c r="D194" s="44"/>
      <c r="E194" s="44"/>
      <c r="F194" s="68"/>
      <c r="G194" s="45"/>
      <c r="H194" s="45" t="s">
        <v>108</v>
      </c>
      <c r="I194" s="45" t="s">
        <v>280</v>
      </c>
      <c r="J194" s="45">
        <v>51.1875</v>
      </c>
      <c r="K194" s="48">
        <v>15.3</v>
      </c>
      <c r="L194" s="48">
        <f t="shared" si="7"/>
        <v>35.8875</v>
      </c>
    </row>
    <row r="195" s="27" customFormat="1" customHeight="1" spans="1:12">
      <c r="A195" s="44"/>
      <c r="B195" s="44"/>
      <c r="C195" s="44"/>
      <c r="D195" s="44"/>
      <c r="E195" s="44"/>
      <c r="F195" s="68"/>
      <c r="G195" s="45"/>
      <c r="H195" s="45" t="s">
        <v>106</v>
      </c>
      <c r="I195" s="45" t="s">
        <v>281</v>
      </c>
      <c r="J195" s="45">
        <v>5071.803</v>
      </c>
      <c r="K195" s="48">
        <f>1490.248475+56.03551+647.297704</f>
        <v>2193.581689</v>
      </c>
      <c r="L195" s="48">
        <f t="shared" si="7"/>
        <v>2878.221311</v>
      </c>
    </row>
    <row r="196" s="27" customFormat="1" customHeight="1" spans="1:12">
      <c r="A196" s="44"/>
      <c r="B196" s="44"/>
      <c r="C196" s="44"/>
      <c r="D196" s="44"/>
      <c r="E196" s="44"/>
      <c r="F196" s="68"/>
      <c r="G196" s="45"/>
      <c r="H196" s="45" t="s">
        <v>108</v>
      </c>
      <c r="I196" s="45" t="s">
        <v>282</v>
      </c>
      <c r="J196" s="45">
        <v>100</v>
      </c>
      <c r="K196" s="48">
        <f>14.5312+12.9688</f>
        <v>27.5</v>
      </c>
      <c r="L196" s="48">
        <f t="shared" si="7"/>
        <v>72.5</v>
      </c>
    </row>
    <row r="197" s="27" customFormat="1" customHeight="1" spans="1:12">
      <c r="A197" s="44"/>
      <c r="B197" s="44"/>
      <c r="C197" s="44"/>
      <c r="D197" s="44"/>
      <c r="E197" s="44"/>
      <c r="F197" s="68"/>
      <c r="G197" s="45"/>
      <c r="H197" s="45" t="s">
        <v>108</v>
      </c>
      <c r="I197" s="45" t="s">
        <v>283</v>
      </c>
      <c r="J197" s="45">
        <v>1.2</v>
      </c>
      <c r="K197" s="48">
        <v>1.2</v>
      </c>
      <c r="L197" s="48">
        <f t="shared" si="7"/>
        <v>0</v>
      </c>
    </row>
    <row r="198" s="27" customFormat="1" customHeight="1" spans="1:12">
      <c r="A198" s="44"/>
      <c r="B198" s="44"/>
      <c r="C198" s="44"/>
      <c r="D198" s="44"/>
      <c r="E198" s="44"/>
      <c r="F198" s="68"/>
      <c r="G198" s="45"/>
      <c r="H198" s="45" t="s">
        <v>108</v>
      </c>
      <c r="I198" s="45" t="s">
        <v>284</v>
      </c>
      <c r="J198" s="45">
        <v>100</v>
      </c>
      <c r="K198" s="48">
        <v>43.52002</v>
      </c>
      <c r="L198" s="48">
        <f t="shared" si="7"/>
        <v>56.47998</v>
      </c>
    </row>
    <row r="199" s="27" customFormat="1" customHeight="1" spans="1:12">
      <c r="A199" s="44"/>
      <c r="B199" s="44"/>
      <c r="C199" s="44"/>
      <c r="D199" s="44"/>
      <c r="E199" s="44"/>
      <c r="F199" s="68"/>
      <c r="G199" s="45"/>
      <c r="H199" s="45" t="s">
        <v>108</v>
      </c>
      <c r="I199" s="45" t="s">
        <v>285</v>
      </c>
      <c r="J199" s="45">
        <v>65</v>
      </c>
      <c r="K199" s="48">
        <f>58.83398+2.71726+3.4131</f>
        <v>64.96434</v>
      </c>
      <c r="L199" s="48">
        <f t="shared" si="7"/>
        <v>0.0356599999999929</v>
      </c>
    </row>
    <row r="200" s="27" customFormat="1" customHeight="1" spans="1:12">
      <c r="A200" s="44"/>
      <c r="B200" s="44"/>
      <c r="C200" s="44"/>
      <c r="D200" s="44"/>
      <c r="E200" s="44"/>
      <c r="F200" s="68"/>
      <c r="G200" s="45"/>
      <c r="H200" s="45" t="s">
        <v>108</v>
      </c>
      <c r="I200" s="45" t="s">
        <v>286</v>
      </c>
      <c r="J200" s="45">
        <v>100</v>
      </c>
      <c r="K200" s="48">
        <v>100</v>
      </c>
      <c r="L200" s="48">
        <f t="shared" si="7"/>
        <v>0</v>
      </c>
    </row>
    <row r="201" s="27" customFormat="1" customHeight="1" spans="1:12">
      <c r="A201" s="44"/>
      <c r="B201" s="44"/>
      <c r="C201" s="44"/>
      <c r="D201" s="44"/>
      <c r="E201" s="44"/>
      <c r="F201" s="68"/>
      <c r="G201" s="45"/>
      <c r="H201" s="45" t="s">
        <v>108</v>
      </c>
      <c r="I201" s="45" t="s">
        <v>287</v>
      </c>
      <c r="J201" s="45">
        <v>150</v>
      </c>
      <c r="K201" s="48">
        <v>150</v>
      </c>
      <c r="L201" s="48">
        <f t="shared" si="7"/>
        <v>0</v>
      </c>
    </row>
    <row r="202" s="27" customFormat="1" customHeight="1" spans="1:12">
      <c r="A202" s="44"/>
      <c r="B202" s="44"/>
      <c r="C202" s="44"/>
      <c r="D202" s="44"/>
      <c r="E202" s="44"/>
      <c r="F202" s="68"/>
      <c r="G202" s="45"/>
      <c r="H202" s="45" t="s">
        <v>106</v>
      </c>
      <c r="I202" s="45" t="s">
        <v>256</v>
      </c>
      <c r="J202" s="45">
        <v>100</v>
      </c>
      <c r="K202" s="48">
        <v>0</v>
      </c>
      <c r="L202" s="48">
        <f t="shared" si="7"/>
        <v>100</v>
      </c>
    </row>
    <row r="203" s="27" customFormat="1" customHeight="1" spans="1:12">
      <c r="A203" s="44"/>
      <c r="B203" s="44"/>
      <c r="C203" s="44"/>
      <c r="D203" s="44"/>
      <c r="E203" s="44"/>
      <c r="F203" s="68"/>
      <c r="G203" s="45"/>
      <c r="H203" s="45" t="s">
        <v>108</v>
      </c>
      <c r="I203" s="45" t="s">
        <v>288</v>
      </c>
      <c r="J203" s="45">
        <v>100</v>
      </c>
      <c r="K203" s="48">
        <v>0</v>
      </c>
      <c r="L203" s="48">
        <f t="shared" si="7"/>
        <v>100</v>
      </c>
    </row>
    <row r="204" customHeight="1" spans="1:12">
      <c r="A204" s="44"/>
      <c r="B204" s="44"/>
      <c r="C204" s="44"/>
      <c r="D204" s="44"/>
      <c r="E204" s="44"/>
      <c r="F204" s="68" t="s">
        <v>53</v>
      </c>
      <c r="G204" s="45">
        <v>4593.3095</v>
      </c>
      <c r="H204" s="45" t="s">
        <v>106</v>
      </c>
      <c r="I204" s="45" t="s">
        <v>289</v>
      </c>
      <c r="J204" s="45">
        <v>1151</v>
      </c>
      <c r="K204" s="48">
        <f>236.984807+392.803304</f>
        <v>629.788111</v>
      </c>
      <c r="L204" s="48">
        <f t="shared" si="7"/>
        <v>521.211889</v>
      </c>
    </row>
    <row r="205" customHeight="1" spans="1:12">
      <c r="A205" s="44"/>
      <c r="B205" s="44"/>
      <c r="C205" s="44"/>
      <c r="D205" s="44"/>
      <c r="E205" s="44"/>
      <c r="F205" s="68"/>
      <c r="G205" s="45"/>
      <c r="H205" s="45" t="s">
        <v>106</v>
      </c>
      <c r="I205" s="45" t="s">
        <v>290</v>
      </c>
      <c r="J205" s="45">
        <v>231.4327</v>
      </c>
      <c r="K205" s="48">
        <v>0</v>
      </c>
      <c r="L205" s="48">
        <f t="shared" si="7"/>
        <v>231.4327</v>
      </c>
    </row>
    <row r="206" customHeight="1" spans="1:12">
      <c r="A206" s="44"/>
      <c r="B206" s="44"/>
      <c r="C206" s="44"/>
      <c r="D206" s="44"/>
      <c r="E206" s="44"/>
      <c r="F206" s="68"/>
      <c r="G206" s="45"/>
      <c r="H206" s="45" t="s">
        <v>106</v>
      </c>
      <c r="I206" s="45" t="s">
        <v>291</v>
      </c>
      <c r="J206" s="45">
        <v>1257.7355</v>
      </c>
      <c r="K206" s="48">
        <f>689.204399+8.9+229.561887</f>
        <v>927.666286</v>
      </c>
      <c r="L206" s="48">
        <f t="shared" si="7"/>
        <v>330.069214</v>
      </c>
    </row>
    <row r="207" customHeight="1" spans="1:12">
      <c r="A207" s="44"/>
      <c r="B207" s="44"/>
      <c r="C207" s="44"/>
      <c r="D207" s="44"/>
      <c r="E207" s="44"/>
      <c r="F207" s="68"/>
      <c r="G207" s="45"/>
      <c r="H207" s="45" t="s">
        <v>106</v>
      </c>
      <c r="I207" s="45" t="s">
        <v>292</v>
      </c>
      <c r="J207" s="45">
        <v>1159</v>
      </c>
      <c r="K207" s="48">
        <f>965.40696+28.660841+13.651</f>
        <v>1007.718801</v>
      </c>
      <c r="L207" s="48">
        <f t="shared" si="7"/>
        <v>151.281199</v>
      </c>
    </row>
    <row r="208" customHeight="1" spans="1:12">
      <c r="A208" s="44"/>
      <c r="B208" s="44"/>
      <c r="C208" s="44"/>
      <c r="D208" s="44"/>
      <c r="E208" s="44"/>
      <c r="F208" s="68"/>
      <c r="G208" s="45"/>
      <c r="H208" s="45" t="s">
        <v>106</v>
      </c>
      <c r="I208" s="45" t="s">
        <v>293</v>
      </c>
      <c r="J208" s="45">
        <v>200</v>
      </c>
      <c r="K208" s="48">
        <v>13.129837</v>
      </c>
      <c r="L208" s="48">
        <f t="shared" si="7"/>
        <v>186.870163</v>
      </c>
    </row>
    <row r="209" customHeight="1" spans="1:12">
      <c r="A209" s="44"/>
      <c r="B209" s="44"/>
      <c r="C209" s="44"/>
      <c r="D209" s="44"/>
      <c r="E209" s="44"/>
      <c r="F209" s="68"/>
      <c r="G209" s="45"/>
      <c r="H209" s="45" t="s">
        <v>106</v>
      </c>
      <c r="I209" s="45" t="s">
        <v>294</v>
      </c>
      <c r="J209" s="45">
        <v>594.1413</v>
      </c>
      <c r="K209" s="48">
        <f>555.346802+18</f>
        <v>573.346802</v>
      </c>
      <c r="L209" s="48">
        <f t="shared" si="7"/>
        <v>20.794498</v>
      </c>
    </row>
    <row r="210" customHeight="1" spans="1:12">
      <c r="A210" s="44"/>
      <c r="B210" s="44"/>
      <c r="C210" s="44"/>
      <c r="D210" s="44"/>
      <c r="E210" s="44"/>
      <c r="F210" s="68" t="s">
        <v>50</v>
      </c>
      <c r="G210" s="45">
        <v>5080</v>
      </c>
      <c r="H210" s="45" t="s">
        <v>106</v>
      </c>
      <c r="I210" s="45" t="s">
        <v>295</v>
      </c>
      <c r="J210" s="45">
        <v>1080</v>
      </c>
      <c r="K210" s="48">
        <v>1080</v>
      </c>
      <c r="L210" s="48">
        <f t="shared" si="7"/>
        <v>0</v>
      </c>
    </row>
    <row r="211" ht="26" customHeight="1" spans="1:12">
      <c r="A211" s="44"/>
      <c r="B211" s="44"/>
      <c r="C211" s="44"/>
      <c r="D211" s="44"/>
      <c r="E211" s="44"/>
      <c r="F211" s="68"/>
      <c r="G211" s="45"/>
      <c r="H211" s="45" t="s">
        <v>106</v>
      </c>
      <c r="I211" s="45" t="s">
        <v>296</v>
      </c>
      <c r="J211" s="45">
        <v>2000</v>
      </c>
      <c r="K211" s="48">
        <f>626.520851+603.60978</f>
        <v>1230.130631</v>
      </c>
      <c r="L211" s="48">
        <f t="shared" si="7"/>
        <v>769.869369</v>
      </c>
    </row>
    <row r="212" ht="26" customHeight="1" spans="1:12">
      <c r="A212" s="44"/>
      <c r="B212" s="44"/>
      <c r="C212" s="44"/>
      <c r="D212" s="44"/>
      <c r="E212" s="44"/>
      <c r="F212" s="68"/>
      <c r="G212" s="45"/>
      <c r="H212" s="45" t="s">
        <v>106</v>
      </c>
      <c r="I212" s="45" t="s">
        <v>297</v>
      </c>
      <c r="J212" s="45">
        <v>1200</v>
      </c>
      <c r="K212" s="48">
        <v>1146.285</v>
      </c>
      <c r="L212" s="48">
        <f t="shared" si="7"/>
        <v>53.7149999999999</v>
      </c>
    </row>
    <row r="213" ht="26" customHeight="1" spans="1:12">
      <c r="A213" s="44"/>
      <c r="B213" s="44"/>
      <c r="C213" s="44"/>
      <c r="D213" s="44"/>
      <c r="E213" s="44"/>
      <c r="F213" s="68"/>
      <c r="G213" s="45"/>
      <c r="H213" s="45" t="s">
        <v>106</v>
      </c>
      <c r="I213" s="45" t="s">
        <v>298</v>
      </c>
      <c r="J213" s="45">
        <v>800</v>
      </c>
      <c r="K213" s="48">
        <f>493.965+246.9825</f>
        <v>740.9475</v>
      </c>
      <c r="L213" s="48">
        <f t="shared" si="7"/>
        <v>59.0525</v>
      </c>
    </row>
    <row r="214" ht="26" customHeight="1" spans="1:12">
      <c r="A214" s="44"/>
      <c r="B214" s="44"/>
      <c r="C214" s="44"/>
      <c r="D214" s="44"/>
      <c r="E214" s="44"/>
      <c r="F214" s="68" t="s">
        <v>62</v>
      </c>
      <c r="G214" s="45">
        <v>30</v>
      </c>
      <c r="H214" s="45" t="s">
        <v>147</v>
      </c>
      <c r="I214" s="45" t="s">
        <v>299</v>
      </c>
      <c r="J214" s="45">
        <v>30</v>
      </c>
      <c r="K214" s="48">
        <f>25+4.98</f>
        <v>29.98</v>
      </c>
      <c r="L214" s="48">
        <f t="shared" si="7"/>
        <v>0.0199999999999996</v>
      </c>
    </row>
    <row r="215" ht="26" customHeight="1" spans="1:12">
      <c r="A215" s="44"/>
      <c r="B215" s="44"/>
      <c r="C215" s="44"/>
      <c r="D215" s="44"/>
      <c r="E215" s="44"/>
      <c r="F215" s="50" t="s">
        <v>176</v>
      </c>
      <c r="G215" s="45">
        <v>1720</v>
      </c>
      <c r="H215" s="45" t="s">
        <v>106</v>
      </c>
      <c r="I215" s="45" t="s">
        <v>300</v>
      </c>
      <c r="J215" s="45">
        <v>650</v>
      </c>
      <c r="K215" s="48">
        <v>121.341245</v>
      </c>
      <c r="L215" s="48">
        <f t="shared" si="7"/>
        <v>528.658755</v>
      </c>
    </row>
    <row r="216" ht="26" customHeight="1" spans="1:12">
      <c r="A216" s="44"/>
      <c r="B216" s="44"/>
      <c r="C216" s="44"/>
      <c r="D216" s="44"/>
      <c r="E216" s="44"/>
      <c r="F216" s="50"/>
      <c r="G216" s="45"/>
      <c r="H216" s="45" t="s">
        <v>106</v>
      </c>
      <c r="I216" s="45" t="s">
        <v>301</v>
      </c>
      <c r="J216" s="45">
        <v>150</v>
      </c>
      <c r="K216" s="48">
        <v>0</v>
      </c>
      <c r="L216" s="48">
        <f t="shared" si="7"/>
        <v>150</v>
      </c>
    </row>
    <row r="217" ht="27" customHeight="1" spans="1:12">
      <c r="A217" s="44"/>
      <c r="B217" s="44"/>
      <c r="C217" s="44"/>
      <c r="D217" s="44"/>
      <c r="E217" s="44"/>
      <c r="F217" s="50"/>
      <c r="G217" s="45"/>
      <c r="H217" s="45" t="s">
        <v>106</v>
      </c>
      <c r="I217" s="45" t="s">
        <v>302</v>
      </c>
      <c r="J217" s="45">
        <v>920</v>
      </c>
      <c r="K217" s="48">
        <v>0</v>
      </c>
      <c r="L217" s="48">
        <f t="shared" si="7"/>
        <v>920</v>
      </c>
    </row>
    <row r="218" ht="27" customHeight="1" spans="1:12">
      <c r="A218" s="44"/>
      <c r="B218" s="44"/>
      <c r="C218" s="44"/>
      <c r="D218" s="44"/>
      <c r="E218" s="44"/>
      <c r="F218" s="68" t="s">
        <v>61</v>
      </c>
      <c r="G218" s="45">
        <v>175</v>
      </c>
      <c r="H218" s="45" t="s">
        <v>147</v>
      </c>
      <c r="I218" s="45" t="s">
        <v>303</v>
      </c>
      <c r="J218" s="45">
        <v>175</v>
      </c>
      <c r="K218" s="48">
        <v>145.710273</v>
      </c>
      <c r="L218" s="48">
        <f t="shared" si="7"/>
        <v>29.289727</v>
      </c>
    </row>
    <row r="219" customHeight="1" spans="1:13">
      <c r="A219" s="50">
        <v>25</v>
      </c>
      <c r="B219" s="50" t="s">
        <v>100</v>
      </c>
      <c r="C219" s="50" t="s">
        <v>224</v>
      </c>
      <c r="D219" s="50" t="s">
        <v>304</v>
      </c>
      <c r="E219" s="50" t="s">
        <v>14</v>
      </c>
      <c r="F219" s="50" t="s">
        <v>49</v>
      </c>
      <c r="G219" s="50">
        <v>5744</v>
      </c>
      <c r="H219" s="45" t="s">
        <v>106</v>
      </c>
      <c r="I219" s="46" t="s">
        <v>305</v>
      </c>
      <c r="J219" s="46">
        <v>1471.275</v>
      </c>
      <c r="K219" s="46"/>
      <c r="L219" s="48">
        <f t="shared" si="7"/>
        <v>1471.275</v>
      </c>
      <c r="M219" s="29"/>
    </row>
    <row r="220" customHeight="1" spans="1:13">
      <c r="A220" s="50"/>
      <c r="B220" s="50"/>
      <c r="C220" s="50"/>
      <c r="D220" s="50"/>
      <c r="E220" s="50"/>
      <c r="F220" s="50"/>
      <c r="G220" s="50"/>
      <c r="H220" s="45" t="s">
        <v>106</v>
      </c>
      <c r="I220" s="46" t="s">
        <v>306</v>
      </c>
      <c r="J220" s="46">
        <v>300</v>
      </c>
      <c r="K220" s="46"/>
      <c r="L220" s="48">
        <f t="shared" si="7"/>
        <v>300</v>
      </c>
      <c r="M220" s="29"/>
    </row>
    <row r="221" customHeight="1" spans="1:12">
      <c r="A221" s="50"/>
      <c r="B221" s="50"/>
      <c r="C221" s="50"/>
      <c r="D221" s="50"/>
      <c r="E221" s="50"/>
      <c r="F221" s="50"/>
      <c r="G221" s="50"/>
      <c r="H221" s="45" t="s">
        <v>106</v>
      </c>
      <c r="I221" s="46" t="s">
        <v>307</v>
      </c>
      <c r="J221" s="46">
        <f>1462.725+2510</f>
        <v>3972.725</v>
      </c>
      <c r="K221" s="46"/>
      <c r="L221" s="48">
        <f t="shared" si="7"/>
        <v>3972.725</v>
      </c>
    </row>
  </sheetData>
  <autoFilter ref="A2:L221">
    <extLst/>
  </autoFilter>
  <mergeCells count="183">
    <mergeCell ref="A1:L1"/>
    <mergeCell ref="A4:A12"/>
    <mergeCell ref="A13:A23"/>
    <mergeCell ref="A24:A30"/>
    <mergeCell ref="A31:A39"/>
    <mergeCell ref="A40:A50"/>
    <mergeCell ref="A51:A59"/>
    <mergeCell ref="A60:A64"/>
    <mergeCell ref="A65:A66"/>
    <mergeCell ref="A69:A71"/>
    <mergeCell ref="A73:A82"/>
    <mergeCell ref="A83:A91"/>
    <mergeCell ref="A92:A97"/>
    <mergeCell ref="A98:A108"/>
    <mergeCell ref="A109:A112"/>
    <mergeCell ref="A113:A126"/>
    <mergeCell ref="A127:A146"/>
    <mergeCell ref="A147:A167"/>
    <mergeCell ref="A168:A171"/>
    <mergeCell ref="A172:A191"/>
    <mergeCell ref="A192:A218"/>
    <mergeCell ref="A219:A221"/>
    <mergeCell ref="B4:B12"/>
    <mergeCell ref="B13:B23"/>
    <mergeCell ref="B24:B30"/>
    <mergeCell ref="B31:B39"/>
    <mergeCell ref="B40:B50"/>
    <mergeCell ref="B51:B59"/>
    <mergeCell ref="B60:B64"/>
    <mergeCell ref="B65:B66"/>
    <mergeCell ref="B69:B71"/>
    <mergeCell ref="B73:B82"/>
    <mergeCell ref="B83:B91"/>
    <mergeCell ref="B92:B97"/>
    <mergeCell ref="B98:B108"/>
    <mergeCell ref="B109:B112"/>
    <mergeCell ref="B113:B126"/>
    <mergeCell ref="B127:B146"/>
    <mergeCell ref="B147:B167"/>
    <mergeCell ref="B168:B171"/>
    <mergeCell ref="B172:B191"/>
    <mergeCell ref="B192:B218"/>
    <mergeCell ref="B219:B221"/>
    <mergeCell ref="C4:C12"/>
    <mergeCell ref="C13:C23"/>
    <mergeCell ref="C24:C30"/>
    <mergeCell ref="C31:C39"/>
    <mergeCell ref="C40:C50"/>
    <mergeCell ref="C51:C59"/>
    <mergeCell ref="C60:C64"/>
    <mergeCell ref="C65:C66"/>
    <mergeCell ref="C69:C71"/>
    <mergeCell ref="C73:C82"/>
    <mergeCell ref="C83:C91"/>
    <mergeCell ref="C92:C97"/>
    <mergeCell ref="C98:C108"/>
    <mergeCell ref="C109:C112"/>
    <mergeCell ref="C113:C126"/>
    <mergeCell ref="C127:C146"/>
    <mergeCell ref="C147:C167"/>
    <mergeCell ref="C168:C171"/>
    <mergeCell ref="C172:C191"/>
    <mergeCell ref="C192:C218"/>
    <mergeCell ref="C219:C221"/>
    <mergeCell ref="D4:D12"/>
    <mergeCell ref="D13:D23"/>
    <mergeCell ref="D24:D30"/>
    <mergeCell ref="D31:D39"/>
    <mergeCell ref="D40:D50"/>
    <mergeCell ref="D51:D59"/>
    <mergeCell ref="D60:D64"/>
    <mergeCell ref="D65:D66"/>
    <mergeCell ref="D69:D71"/>
    <mergeCell ref="D73:D82"/>
    <mergeCell ref="D83:D91"/>
    <mergeCell ref="D92:D97"/>
    <mergeCell ref="D98:D108"/>
    <mergeCell ref="D109:D112"/>
    <mergeCell ref="D113:D126"/>
    <mergeCell ref="D127:D146"/>
    <mergeCell ref="D147:D167"/>
    <mergeCell ref="D168:D171"/>
    <mergeCell ref="D172:D191"/>
    <mergeCell ref="D192:D218"/>
    <mergeCell ref="D219:D221"/>
    <mergeCell ref="E4:E12"/>
    <mergeCell ref="E13:E23"/>
    <mergeCell ref="E24:E30"/>
    <mergeCell ref="E31:E39"/>
    <mergeCell ref="E40:E50"/>
    <mergeCell ref="E51:E59"/>
    <mergeCell ref="E60:E64"/>
    <mergeCell ref="E65:E66"/>
    <mergeCell ref="E69:E71"/>
    <mergeCell ref="E73:E82"/>
    <mergeCell ref="E83:E91"/>
    <mergeCell ref="E92:E97"/>
    <mergeCell ref="E98:E108"/>
    <mergeCell ref="E109:E112"/>
    <mergeCell ref="E113:E126"/>
    <mergeCell ref="E127:E146"/>
    <mergeCell ref="E147:E167"/>
    <mergeCell ref="E168:E171"/>
    <mergeCell ref="E172:E191"/>
    <mergeCell ref="E192:E218"/>
    <mergeCell ref="E219:E221"/>
    <mergeCell ref="F4:F9"/>
    <mergeCell ref="F11:F12"/>
    <mergeCell ref="F13:F19"/>
    <mergeCell ref="F20:F21"/>
    <mergeCell ref="F22:F23"/>
    <mergeCell ref="F24:F27"/>
    <mergeCell ref="F29:F30"/>
    <mergeCell ref="F40:F47"/>
    <mergeCell ref="F51:F59"/>
    <mergeCell ref="F60:F64"/>
    <mergeCell ref="F65:F66"/>
    <mergeCell ref="F70:F71"/>
    <mergeCell ref="F73:F77"/>
    <mergeCell ref="F78:F79"/>
    <mergeCell ref="F81:F82"/>
    <mergeCell ref="F83:F90"/>
    <mergeCell ref="F93:F96"/>
    <mergeCell ref="F100:F103"/>
    <mergeCell ref="F105:F107"/>
    <mergeCell ref="F113:F120"/>
    <mergeCell ref="F121:F126"/>
    <mergeCell ref="F127:F129"/>
    <mergeCell ref="F132:F142"/>
    <mergeCell ref="F143:F144"/>
    <mergeCell ref="F147:F155"/>
    <mergeCell ref="F157:F158"/>
    <mergeCell ref="F163:F164"/>
    <mergeCell ref="F166:F167"/>
    <mergeCell ref="F168:F171"/>
    <mergeCell ref="F172:F183"/>
    <mergeCell ref="F184:F185"/>
    <mergeCell ref="F192:F203"/>
    <mergeCell ref="F204:F209"/>
    <mergeCell ref="F210:F213"/>
    <mergeCell ref="F215:F217"/>
    <mergeCell ref="F219:F221"/>
    <mergeCell ref="G4:G9"/>
    <mergeCell ref="G11:G12"/>
    <mergeCell ref="G13:G19"/>
    <mergeCell ref="G20:G21"/>
    <mergeCell ref="G22:G23"/>
    <mergeCell ref="G24:G27"/>
    <mergeCell ref="G29:G30"/>
    <mergeCell ref="G31:G39"/>
    <mergeCell ref="G40:G47"/>
    <mergeCell ref="G51:G59"/>
    <mergeCell ref="G60:G64"/>
    <mergeCell ref="G65:G66"/>
    <mergeCell ref="G70:G71"/>
    <mergeCell ref="G73:G77"/>
    <mergeCell ref="G78:G79"/>
    <mergeCell ref="G81:G82"/>
    <mergeCell ref="G83:G90"/>
    <mergeCell ref="G93:G96"/>
    <mergeCell ref="G100:G103"/>
    <mergeCell ref="G105:G107"/>
    <mergeCell ref="G113:G120"/>
    <mergeCell ref="G121:G126"/>
    <mergeCell ref="G127:G129"/>
    <mergeCell ref="G132:G142"/>
    <mergeCell ref="G143:G144"/>
    <mergeCell ref="G147:G155"/>
    <mergeCell ref="G157:G158"/>
    <mergeCell ref="G163:G164"/>
    <mergeCell ref="G166:G167"/>
    <mergeCell ref="G168:G171"/>
    <mergeCell ref="G172:G183"/>
    <mergeCell ref="G184:G185"/>
    <mergeCell ref="G192:G203"/>
    <mergeCell ref="G204:G209"/>
    <mergeCell ref="G210:G213"/>
    <mergeCell ref="G215:G217"/>
    <mergeCell ref="G219:G221"/>
    <mergeCell ref="K100:K103"/>
    <mergeCell ref="K105:K107"/>
    <mergeCell ref="L100:L103"/>
    <mergeCell ref="L105:L107"/>
  </mergeCells>
  <conditionalFormatting sqref="I24">
    <cfRule type="duplicateValues" dxfId="0" priority="10" stopIfTrue="1"/>
  </conditionalFormatting>
  <conditionalFormatting sqref="I82">
    <cfRule type="duplicateValues" dxfId="0" priority="7" stopIfTrue="1"/>
  </conditionalFormatting>
  <conditionalFormatting sqref="I154">
    <cfRule type="duplicateValues" dxfId="1" priority="1" stopIfTrue="1"/>
  </conditionalFormatting>
  <conditionalFormatting sqref="I25:I26">
    <cfRule type="duplicateValues" dxfId="0" priority="12" stopIfTrue="1"/>
  </conditionalFormatting>
  <conditionalFormatting sqref="I27:I36 I38">
    <cfRule type="duplicateValues" dxfId="0" priority="11" stopIfTrue="1"/>
  </conditionalFormatting>
  <dataValidations count="1">
    <dataValidation type="list" allowBlank="1" showInputMessage="1" showErrorMessage="1" sqref="H7 H8 H9 H10 H11 H12 H13 H14 H15 H16 H17 H18 H19 H20 H21 H22 H25 H26 H27 H31 H34 H43 H48 H51 H52 H53 H54 H55 H56 H57 H58 H59 H60 H61 H62 H63 H64 H65 H66 H74 H75 H76 H77 H78 H83 H101 H102 H103 H104 H105 H106 H107 H108 H113 H114 H115 H116 H117 H120 H131 H132 H133 H134 H135 H136 H137 H138 H139 H140 H141 H142 H143 H144 H154 H155 H156 H159 H160 H161 H162 H163 H164 H165 H166 H167 H168 H169 H170 H171 H172 H173 H174 H175 H176 H177 H178 H179 H180 H184 H185 H186 H187 H188 H189 H190 H191 H192 H193 H194 H195 H196 H197 H198 H199 H200 H201 H202 H205 H206 H207 H208 H209 H210 H211 H212 H213 H214 H215 H216 H217 H218 H219 H220 H221 H4:H6 H23:H24 H28:H30 H32:H33 H35:H42 H44:H47 H49:H50 H67:H73 H79:H82 H84:H100 H109:H112 H118:H119 H121:H130 H145:H146 H147:H153 H157:H158 H181:H183 H203:H204">
      <formula1>"规划引领,巩固脱贫成果,公共基础设施,公共服务,产业发展"</formula1>
    </dataValidation>
  </dataValidations>
  <printOptions horizontalCentered="1"/>
  <pageMargins left="0.314583333333333" right="0.156944444444444" top="0.511805555555556" bottom="0.550694444444444" header="0.5" footer="0.5"/>
  <pageSetup paperSize="8" fitToHeight="0" orientation="landscape" horizontalDpi="600"/>
  <headerFooter>
    <oddFooter>&amp;C第 &amp;P 页，共 &amp;N 页</oddFooter>
  </headerFooter>
  <rowBreaks count="3" manualBreakCount="3">
    <brk id="183" max="11" man="1"/>
    <brk id="201" max="11" man="1"/>
    <brk id="221" max="1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tabSelected="1" view="pageBreakPreview" zoomScale="90" zoomScaleNormal="90" workbookViewId="0">
      <pane xSplit="2" ySplit="2" topLeftCell="C3" activePane="bottomRight" state="frozen"/>
      <selection/>
      <selection pane="topRight"/>
      <selection pane="bottomLeft"/>
      <selection pane="bottomRight" activeCell="J9" sqref="J9"/>
    </sheetView>
  </sheetViews>
  <sheetFormatPr defaultColWidth="9" defaultRowHeight="38" customHeight="1"/>
  <cols>
    <col min="1" max="1" width="4.25" style="2" customWidth="1"/>
    <col min="2" max="3" width="6.25" style="4" customWidth="1"/>
    <col min="4" max="4" width="11.5" style="4" customWidth="1"/>
    <col min="5" max="5" width="7.25" style="4" customWidth="1"/>
    <col min="6" max="6" width="11.125" style="4" customWidth="1"/>
    <col min="7" max="7" width="11" style="5" customWidth="1"/>
    <col min="8" max="8" width="64.5" style="4" customWidth="1"/>
    <col min="9" max="9" width="13.375" style="6" customWidth="1"/>
    <col min="10" max="10" width="12.5" style="7" customWidth="1"/>
    <col min="11" max="11" width="11.25" style="6" customWidth="1"/>
    <col min="12" max="12" width="12.625" style="2"/>
    <col min="13" max="13" width="11.125" style="2"/>
    <col min="14" max="16384" width="9" style="2"/>
  </cols>
  <sheetData>
    <row r="1" s="1" customFormat="1" ht="34" customHeight="1" spans="1:11">
      <c r="A1" s="8" t="s">
        <v>308</v>
      </c>
      <c r="B1" s="9"/>
      <c r="C1" s="9"/>
      <c r="D1" s="9"/>
      <c r="E1" s="9"/>
      <c r="F1" s="9"/>
      <c r="G1" s="10"/>
      <c r="H1" s="9"/>
      <c r="I1" s="25"/>
      <c r="J1" s="25"/>
      <c r="K1" s="25"/>
    </row>
    <row r="2" ht="50" customHeight="1" spans="1:11">
      <c r="A2" s="11" t="s">
        <v>23</v>
      </c>
      <c r="B2" s="12" t="s">
        <v>90</v>
      </c>
      <c r="C2" s="12" t="s">
        <v>91</v>
      </c>
      <c r="D2" s="12" t="s">
        <v>92</v>
      </c>
      <c r="E2" s="13" t="s">
        <v>93</v>
      </c>
      <c r="F2" s="13" t="s">
        <v>71</v>
      </c>
      <c r="G2" s="14" t="s">
        <v>94</v>
      </c>
      <c r="H2" s="13" t="s">
        <v>96</v>
      </c>
      <c r="I2" s="14" t="s">
        <v>97</v>
      </c>
      <c r="J2" s="14" t="s">
        <v>98</v>
      </c>
      <c r="K2" s="14" t="s">
        <v>99</v>
      </c>
    </row>
    <row r="3" s="2" customFormat="1" customHeight="1" spans="1:11">
      <c r="A3" s="11"/>
      <c r="B3" s="12"/>
      <c r="C3" s="12"/>
      <c r="D3" s="12"/>
      <c r="E3" s="13"/>
      <c r="F3" s="13"/>
      <c r="G3" s="14">
        <f t="shared" ref="G3:K3" si="0">SUM(G4:G12)</f>
        <v>5268</v>
      </c>
      <c r="H3" s="13"/>
      <c r="I3" s="14">
        <f t="shared" si="0"/>
        <v>5268</v>
      </c>
      <c r="J3" s="14">
        <f t="shared" si="0"/>
        <v>5088</v>
      </c>
      <c r="K3" s="14">
        <f t="shared" si="0"/>
        <v>180</v>
      </c>
    </row>
    <row r="4" s="3" customFormat="1" customHeight="1" spans="1:11">
      <c r="A4" s="15">
        <v>1</v>
      </c>
      <c r="B4" s="15" t="s">
        <v>309</v>
      </c>
      <c r="C4" s="15" t="s">
        <v>151</v>
      </c>
      <c r="D4" s="15" t="s">
        <v>310</v>
      </c>
      <c r="E4" s="15" t="s">
        <v>311</v>
      </c>
      <c r="F4" s="16" t="s">
        <v>312</v>
      </c>
      <c r="G4" s="17">
        <v>657.88528</v>
      </c>
      <c r="H4" s="18" t="s">
        <v>313</v>
      </c>
      <c r="I4" s="17">
        <v>657.88528</v>
      </c>
      <c r="J4" s="17">
        <v>657.88528</v>
      </c>
      <c r="K4" s="17">
        <f t="shared" ref="K4:K12" si="1">I4-J4</f>
        <v>0</v>
      </c>
    </row>
    <row r="5" s="3" customFormat="1" customHeight="1" spans="1:11">
      <c r="A5" s="19"/>
      <c r="B5" s="19"/>
      <c r="C5" s="19"/>
      <c r="D5" s="19"/>
      <c r="E5" s="19"/>
      <c r="F5" s="16" t="s">
        <v>49</v>
      </c>
      <c r="G5" s="20">
        <f>SUM(I5:I6)</f>
        <v>2842.11472</v>
      </c>
      <c r="H5" s="18" t="s">
        <v>314</v>
      </c>
      <c r="I5" s="17">
        <v>2239.320345</v>
      </c>
      <c r="J5" s="17">
        <v>2239.320345</v>
      </c>
      <c r="K5" s="17">
        <f t="shared" si="1"/>
        <v>0</v>
      </c>
    </row>
    <row r="6" s="3" customFormat="1" customHeight="1" spans="1:11">
      <c r="A6" s="21"/>
      <c r="B6" s="21"/>
      <c r="C6" s="21"/>
      <c r="D6" s="21"/>
      <c r="E6" s="21"/>
      <c r="F6" s="16" t="s">
        <v>49</v>
      </c>
      <c r="G6" s="22"/>
      <c r="H6" s="18" t="s">
        <v>315</v>
      </c>
      <c r="I6" s="17">
        <v>602.794375</v>
      </c>
      <c r="J6" s="17">
        <v>602.794375</v>
      </c>
      <c r="K6" s="17">
        <f t="shared" si="1"/>
        <v>0</v>
      </c>
    </row>
    <row r="7" s="3" customFormat="1" customHeight="1" spans="1:11">
      <c r="A7" s="15">
        <v>2</v>
      </c>
      <c r="B7" s="15" t="s">
        <v>309</v>
      </c>
      <c r="C7" s="15" t="s">
        <v>151</v>
      </c>
      <c r="D7" s="15" t="s">
        <v>316</v>
      </c>
      <c r="E7" s="15" t="s">
        <v>317</v>
      </c>
      <c r="F7" s="15" t="s">
        <v>318</v>
      </c>
      <c r="G7" s="15">
        <v>248</v>
      </c>
      <c r="H7" s="18" t="s">
        <v>319</v>
      </c>
      <c r="I7" s="17">
        <v>198.948292</v>
      </c>
      <c r="J7" s="17">
        <v>198.948292</v>
      </c>
      <c r="K7" s="17">
        <f t="shared" si="1"/>
        <v>0</v>
      </c>
    </row>
    <row r="8" s="3" customFormat="1" customHeight="1" spans="1:11">
      <c r="A8" s="19"/>
      <c r="B8" s="19"/>
      <c r="C8" s="19"/>
      <c r="D8" s="19"/>
      <c r="E8" s="19"/>
      <c r="F8" s="19"/>
      <c r="G8" s="19"/>
      <c r="H8" s="18" t="s">
        <v>320</v>
      </c>
      <c r="I8" s="17">
        <v>49.051708</v>
      </c>
      <c r="J8" s="17">
        <v>49.051708</v>
      </c>
      <c r="K8" s="17">
        <f t="shared" si="1"/>
        <v>0</v>
      </c>
    </row>
    <row r="9" s="3" customFormat="1" customHeight="1" spans="1:11">
      <c r="A9" s="15">
        <v>3</v>
      </c>
      <c r="B9" s="15" t="s">
        <v>309</v>
      </c>
      <c r="C9" s="15" t="s">
        <v>224</v>
      </c>
      <c r="D9" s="15" t="s">
        <v>321</v>
      </c>
      <c r="E9" s="15" t="s">
        <v>322</v>
      </c>
      <c r="F9" s="15" t="s">
        <v>49</v>
      </c>
      <c r="G9" s="20">
        <v>1200</v>
      </c>
      <c r="H9" s="23" t="s">
        <v>240</v>
      </c>
      <c r="I9" s="17">
        <v>200.068641</v>
      </c>
      <c r="J9" s="17">
        <v>200.068641</v>
      </c>
      <c r="K9" s="17">
        <f t="shared" si="1"/>
        <v>0</v>
      </c>
    </row>
    <row r="10" s="3" customFormat="1" customHeight="1" spans="1:11">
      <c r="A10" s="21"/>
      <c r="B10" s="19"/>
      <c r="C10" s="21"/>
      <c r="D10" s="21"/>
      <c r="E10" s="21"/>
      <c r="F10" s="21"/>
      <c r="G10" s="22"/>
      <c r="H10" s="24" t="s">
        <v>323</v>
      </c>
      <c r="I10" s="17">
        <f>1200-I9</f>
        <v>999.931359</v>
      </c>
      <c r="J10" s="17">
        <f>760.912225+152.6666+86.352534</f>
        <v>999.931359</v>
      </c>
      <c r="K10" s="17">
        <f t="shared" si="1"/>
        <v>0</v>
      </c>
    </row>
    <row r="11" s="3" customFormat="1" ht="41" customHeight="1" spans="1:11">
      <c r="A11" s="16">
        <v>4</v>
      </c>
      <c r="B11" s="16" t="s">
        <v>309</v>
      </c>
      <c r="C11" s="16" t="s">
        <v>224</v>
      </c>
      <c r="D11" s="16" t="s">
        <v>324</v>
      </c>
      <c r="E11" s="16" t="s">
        <v>325</v>
      </c>
      <c r="F11" s="16" t="s">
        <v>49</v>
      </c>
      <c r="G11" s="23">
        <v>180</v>
      </c>
      <c r="H11" s="24" t="s">
        <v>326</v>
      </c>
      <c r="I11" s="23">
        <v>180</v>
      </c>
      <c r="J11" s="17">
        <v>0</v>
      </c>
      <c r="K11" s="17">
        <f t="shared" si="1"/>
        <v>180</v>
      </c>
    </row>
    <row r="12" s="3" customFormat="1" ht="40" customHeight="1" spans="1:11">
      <c r="A12" s="16">
        <v>5</v>
      </c>
      <c r="B12" s="16" t="s">
        <v>309</v>
      </c>
      <c r="C12" s="16" t="s">
        <v>224</v>
      </c>
      <c r="D12" s="16" t="s">
        <v>327</v>
      </c>
      <c r="E12" s="16" t="s">
        <v>328</v>
      </c>
      <c r="F12" s="16" t="s">
        <v>318</v>
      </c>
      <c r="G12" s="16">
        <v>140</v>
      </c>
      <c r="H12" s="24" t="s">
        <v>329</v>
      </c>
      <c r="I12" s="17">
        <v>140</v>
      </c>
      <c r="J12" s="17">
        <v>140</v>
      </c>
      <c r="K12" s="17">
        <f t="shared" si="1"/>
        <v>0</v>
      </c>
    </row>
  </sheetData>
  <autoFilter ref="A2:K12">
    <extLst/>
  </autoFilter>
  <mergeCells count="21">
    <mergeCell ref="A1:K1"/>
    <mergeCell ref="A4:A6"/>
    <mergeCell ref="A7:A8"/>
    <mergeCell ref="A9:A10"/>
    <mergeCell ref="B4:B6"/>
    <mergeCell ref="B7:B8"/>
    <mergeCell ref="B9:B10"/>
    <mergeCell ref="C4:C6"/>
    <mergeCell ref="C7:C8"/>
    <mergeCell ref="C9:C10"/>
    <mergeCell ref="D4:D6"/>
    <mergeCell ref="D7:D8"/>
    <mergeCell ref="D9:D10"/>
    <mergeCell ref="E4:E6"/>
    <mergeCell ref="E7:E8"/>
    <mergeCell ref="E9:E10"/>
    <mergeCell ref="F7:F8"/>
    <mergeCell ref="F9:F10"/>
    <mergeCell ref="G5:G6"/>
    <mergeCell ref="G7:G8"/>
    <mergeCell ref="G9:G10"/>
  </mergeCells>
  <printOptions horizontalCentered="1"/>
  <pageMargins left="0.314583333333333" right="0.156944444444444" top="0.511805555555556" bottom="0.550694444444444" header="0.5" footer="0.5"/>
  <pageSetup paperSize="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资金安排（按文号）</vt:lpstr>
      <vt:lpstr>统计表（21-22）</vt:lpstr>
      <vt:lpstr>明细表（总）</vt:lpstr>
      <vt:lpstr>明细表（中央资金）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2022-04-19T03:50:00Z</dcterms:created>
  <dcterms:modified xsi:type="dcterms:W3CDTF">2024-02-07T02:24:23Z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5F04C51B44654AC0AED0B3B57A00541E_13</vt:lpwstr>
  </property>
  <property fmtid="{D5CDD505-2E9C-101B-9397-08002B2CF9AE}" pid="3" name="KSOProductBuildVer">
    <vt:lpwstr>2052-12.1.0.16250</vt:lpwstr>
  </property>
  <property fmtid="{D5CDD505-2E9C-101B-9397-08002B2CF9AE}" pid="4" name="commondata">
    <vt:lpwstr>eyJoZGlkIjoiYzAzYmRkNmFmOWMyMjQ0ZjhkNjg2YjQxN2M0YTJjMDgifQ==</vt:lpwstr>
  </property>
</Properties>
</file>